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te_Proyecto\AppData\Local\Microsoft\Windows\INetCache\Content.Outlook\TBZYLCQO\"/>
    </mc:Choice>
  </mc:AlternateContent>
  <xr:revisionPtr revIDLastSave="0" documentId="13_ncr:1_{11229148-FC1B-48B4-B48C-06F4A6AC8C2E}" xr6:coauthVersionLast="47" xr6:coauthVersionMax="47" xr10:uidLastSave="{00000000-0000-0000-0000-000000000000}"/>
  <bookViews>
    <workbookView xWindow="-28920" yWindow="-120" windowWidth="29040" windowHeight="15720" firstSheet="1" activeTab="1" xr2:uid="{45AC1B3F-28CC-4BA4-A8AA-65C05CBF1BF6}"/>
  </bookViews>
  <sheets>
    <sheet name="Simulador.." sheetId="4" state="hidden" r:id="rId1"/>
    <sheet name="Simulador" sheetId="6" r:id="rId2"/>
    <sheet name="Hoja2" sheetId="5" state="hidden" r:id="rId3"/>
    <sheet name="Hoja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6" l="1"/>
  <c r="U16" i="6"/>
  <c r="U18" i="6" s="1"/>
  <c r="K18" i="6"/>
  <c r="J18" i="6"/>
  <c r="R18" i="6"/>
  <c r="S18" i="6"/>
  <c r="T17" i="6"/>
  <c r="S17" i="6"/>
  <c r="R17" i="6"/>
  <c r="Q17" i="6"/>
  <c r="P17" i="6"/>
  <c r="O17" i="6"/>
  <c r="N17" i="6"/>
  <c r="M17" i="6"/>
  <c r="L17" i="6"/>
  <c r="K17" i="6"/>
  <c r="T16" i="6"/>
  <c r="S16" i="6"/>
  <c r="R16" i="6"/>
  <c r="Q16" i="6"/>
  <c r="P16" i="6"/>
  <c r="O16" i="6"/>
  <c r="N16" i="6"/>
  <c r="M16" i="6"/>
  <c r="L16" i="6"/>
  <c r="K16" i="6"/>
  <c r="K11" i="6"/>
  <c r="T11" i="6"/>
  <c r="T18" i="6" s="1"/>
  <c r="S11" i="6"/>
  <c r="R11" i="6"/>
  <c r="Q11" i="6"/>
  <c r="P11" i="6"/>
  <c r="P18" i="6" s="1"/>
  <c r="O11" i="6"/>
  <c r="N11" i="6"/>
  <c r="M11" i="6"/>
  <c r="L11" i="6"/>
  <c r="J8" i="6"/>
  <c r="U8" i="6" s="1"/>
  <c r="J7" i="6"/>
  <c r="U7" i="6" s="1"/>
  <c r="T15" i="6"/>
  <c r="S15" i="6"/>
  <c r="R15" i="6"/>
  <c r="Q15" i="6"/>
  <c r="P15" i="6"/>
  <c r="N15" i="6"/>
  <c r="L15" i="6"/>
  <c r="K15" i="6"/>
  <c r="J46" i="4"/>
  <c r="T14" i="6"/>
  <c r="S14" i="6"/>
  <c r="R14" i="6"/>
  <c r="Q14" i="6"/>
  <c r="P14" i="6"/>
  <c r="T13" i="6"/>
  <c r="S13" i="6"/>
  <c r="R13" i="6"/>
  <c r="Q13" i="6"/>
  <c r="Q18" i="6" s="1"/>
  <c r="P13" i="6"/>
  <c r="K18" i="4"/>
  <c r="J18" i="4"/>
  <c r="C10" i="6"/>
  <c r="I10" i="6" s="1"/>
  <c r="J10" i="6" s="1"/>
  <c r="U10" i="6" s="1"/>
  <c r="J17" i="4"/>
  <c r="J9" i="6"/>
  <c r="U9" i="6" s="1"/>
  <c r="I14" i="6" l="1"/>
  <c r="L14" i="6" s="1"/>
  <c r="I12" i="6"/>
  <c r="K12" i="6" s="1"/>
  <c r="I13" i="6"/>
  <c r="I15" i="6"/>
  <c r="U12" i="6" l="1"/>
  <c r="O15" i="6"/>
  <c r="M15" i="6"/>
  <c r="N14" i="6"/>
  <c r="U11" i="6"/>
  <c r="M14" i="6"/>
  <c r="O14" i="6"/>
  <c r="K14" i="6"/>
  <c r="L13" i="6"/>
  <c r="L18" i="6" s="1"/>
  <c r="O13" i="6"/>
  <c r="N13" i="6"/>
  <c r="K13" i="6"/>
  <c r="M13" i="6"/>
  <c r="O18" i="6" l="1"/>
  <c r="M18" i="6"/>
  <c r="N18" i="6"/>
  <c r="U15" i="6"/>
  <c r="U13" i="6"/>
  <c r="U14" i="6"/>
  <c r="J51" i="4" l="1"/>
  <c r="J36" i="4"/>
  <c r="P46" i="4" l="1"/>
  <c r="I33" i="4"/>
  <c r="J33" i="4" s="1"/>
  <c r="J48" i="4"/>
  <c r="Q47" i="4"/>
  <c r="R47" i="4"/>
  <c r="S47" i="4"/>
  <c r="K46" i="4"/>
  <c r="L46" i="4"/>
  <c r="M46" i="4"/>
  <c r="N46" i="4"/>
  <c r="O46" i="4"/>
  <c r="Q46" i="4"/>
  <c r="R46" i="4"/>
  <c r="S46" i="4"/>
  <c r="O37" i="4"/>
  <c r="P37" i="4"/>
  <c r="Q37" i="4"/>
  <c r="R37" i="4"/>
  <c r="S37" i="4"/>
  <c r="I36" i="4"/>
  <c r="K37" i="4"/>
  <c r="I31" i="4"/>
  <c r="J31" i="4" s="1"/>
  <c r="I32" i="4"/>
  <c r="K32" i="4" s="1"/>
  <c r="Q31" i="4"/>
  <c r="R31" i="4"/>
  <c r="S31" i="4"/>
  <c r="Q32" i="4"/>
  <c r="R32" i="4"/>
  <c r="S32" i="4"/>
  <c r="Q33" i="4"/>
  <c r="Q52" i="4" s="1"/>
  <c r="R33" i="4"/>
  <c r="S33" i="4"/>
  <c r="I46" i="4"/>
  <c r="I47" i="4" s="1"/>
  <c r="J47" i="4" s="1"/>
  <c r="K48" i="4"/>
  <c r="L48" i="4"/>
  <c r="M48" i="4"/>
  <c r="N48" i="4"/>
  <c r="O48" i="4"/>
  <c r="P48" i="4"/>
  <c r="Q48" i="4"/>
  <c r="R48" i="4"/>
  <c r="S48" i="4"/>
  <c r="K51" i="4"/>
  <c r="L18" i="4"/>
  <c r="L51" i="4" s="1"/>
  <c r="M18" i="4"/>
  <c r="M51" i="4" s="1"/>
  <c r="N18" i="4"/>
  <c r="N51" i="4" s="1"/>
  <c r="O18" i="4"/>
  <c r="O51" i="4" s="1"/>
  <c r="P18" i="4"/>
  <c r="P51" i="4" s="1"/>
  <c r="Q18" i="4"/>
  <c r="Q51" i="4" s="1"/>
  <c r="R18" i="4"/>
  <c r="R51" i="4" s="1"/>
  <c r="S18" i="4"/>
  <c r="S51" i="4" s="1"/>
  <c r="J52" i="4" l="1"/>
  <c r="S52" i="4"/>
  <c r="R52" i="4"/>
  <c r="P31" i="4"/>
  <c r="P33" i="4"/>
  <c r="L33" i="4"/>
  <c r="P32" i="4"/>
  <c r="P47" i="4"/>
  <c r="L47" i="4"/>
  <c r="O31" i="4"/>
  <c r="O47" i="4"/>
  <c r="O32" i="4"/>
  <c r="K47" i="4"/>
  <c r="O33" i="4"/>
  <c r="O52" i="4" s="1"/>
  <c r="N47" i="4"/>
  <c r="M47" i="4"/>
  <c r="N37" i="4"/>
  <c r="J37" i="4"/>
  <c r="M37" i="4"/>
  <c r="L37" i="4"/>
  <c r="L31" i="4"/>
  <c r="N32" i="4"/>
  <c r="N33" i="4"/>
  <c r="M33" i="4"/>
  <c r="M52" i="4" s="1"/>
  <c r="M31" i="4"/>
  <c r="M32" i="4"/>
  <c r="N31" i="4"/>
  <c r="K31" i="4"/>
  <c r="J32" i="4"/>
  <c r="K33" i="4"/>
  <c r="K52" i="4" s="1"/>
  <c r="L32" i="4"/>
  <c r="J21" i="4"/>
  <c r="N52" i="4" l="1"/>
  <c r="L52" i="4"/>
  <c r="P52" i="4"/>
  <c r="C33" i="2"/>
  <c r="B33" i="2"/>
  <c r="C2" i="2"/>
  <c r="C3" i="2" s="1"/>
  <c r="B31" i="2"/>
  <c r="B30" i="2"/>
  <c r="B29" i="2"/>
  <c r="B28" i="2"/>
  <c r="C4" i="2" l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</calcChain>
</file>

<file path=xl/sharedStrings.xml><?xml version="1.0" encoding="utf-8"?>
<sst xmlns="http://schemas.openxmlformats.org/spreadsheetml/2006/main" count="256" uniqueCount="167">
  <si>
    <t>N/A</t>
  </si>
  <si>
    <t>Anual</t>
  </si>
  <si>
    <t>Emisiones de Constancias</t>
  </si>
  <si>
    <t>Cada vez que Ocurra</t>
  </si>
  <si>
    <t>Por servicios de Arqueo</t>
  </si>
  <si>
    <t>$ 50.00</t>
  </si>
  <si>
    <t>Hasta $40M</t>
  </si>
  <si>
    <t xml:space="preserve">Valor nominal de los valores en circulación </t>
  </si>
  <si>
    <t>Por Causa de Muerte</t>
  </si>
  <si>
    <t>Dacion de Pago</t>
  </si>
  <si>
    <t>Adjudicacion Judicial</t>
  </si>
  <si>
    <t>Cambio de Titular</t>
  </si>
  <si>
    <t>OBSERVACIONES</t>
  </si>
  <si>
    <t>Octubre</t>
  </si>
  <si>
    <t>Noviembre</t>
  </si>
  <si>
    <t>Promedio Diario</t>
  </si>
  <si>
    <t>Detalle</t>
  </si>
  <si>
    <t>INSCRIPCIÓN Y CUOTAS ANUALES</t>
  </si>
  <si>
    <t>Monto Emisión</t>
  </si>
  <si>
    <t>Concepto</t>
  </si>
  <si>
    <t>Periodicidad</t>
  </si>
  <si>
    <t>Comisión Mínima</t>
  </si>
  <si>
    <t>Única Vez</t>
  </si>
  <si>
    <t xml:space="preserve">LIQUIDACIÓN ELECTRÓNICA DE OPERACIONES </t>
  </si>
  <si>
    <t>SERVICIOS DE INFORMACIÓN</t>
  </si>
  <si>
    <t>Gestión Tributaria</t>
  </si>
  <si>
    <t>$3.20</t>
  </si>
  <si>
    <t>Consultas de Históricos de Saldos</t>
  </si>
  <si>
    <t>Contestación de Confirmación de Saldos</t>
  </si>
  <si>
    <t>SERVICIO DE CUSTODIA</t>
  </si>
  <si>
    <t>de $40M hasta $100M</t>
  </si>
  <si>
    <t>Mayores a $100M</t>
  </si>
  <si>
    <t>SERVICIO DE OPERACIONES</t>
  </si>
  <si>
    <t>Depósito Inicial de Valores</t>
  </si>
  <si>
    <t>Depósitos en Circulación</t>
  </si>
  <si>
    <t>La periodicidad del pago es anual. Esto dependerá del movimiento que tenga el participante.</t>
  </si>
  <si>
    <t xml:space="preserve">SERVICIO DE TRANSFERENCIA ENTRE CUENTAS </t>
  </si>
  <si>
    <t>Cada vez que ocurra</t>
  </si>
  <si>
    <t>SERVICIO COBRO Y PAGO DE INTERESES Y PRINCIPAL</t>
  </si>
  <si>
    <t>* CUOTA DE INSCRIPCIÓN SE PAGA UNA ÚNICA VEZ (NO ES ANUAL).</t>
  </si>
  <si>
    <t>* COSTO DE LIQUIDACIÓN ELECTRÓNICA SE CALCULÓ EN BASE A UNA SOLA SUBASTA.</t>
  </si>
  <si>
    <t>Año 1</t>
  </si>
  <si>
    <t>Año 2</t>
  </si>
  <si>
    <t>Año 3</t>
  </si>
  <si>
    <t>Monto Emisión:</t>
  </si>
  <si>
    <t>SUPUESTOS</t>
  </si>
  <si>
    <t>* LOS SERVICIOS DE TRANSFERENCIA ENTRE CUENTAS SERÁN PAGADOS POR LOS PARTICIPANTES INVOLUCRADOS</t>
  </si>
  <si>
    <t>Emisión:</t>
  </si>
  <si>
    <t>Año 4</t>
  </si>
  <si>
    <t>Año 5</t>
  </si>
  <si>
    <t>Año 6</t>
  </si>
  <si>
    <t>Año 7</t>
  </si>
  <si>
    <t>Año 8</t>
  </si>
  <si>
    <t>Año 9</t>
  </si>
  <si>
    <t>Año 10</t>
  </si>
  <si>
    <t>Años de Vigencia Proyectados:</t>
  </si>
  <si>
    <t>No. de Inversionistas Proyectado:</t>
  </si>
  <si>
    <t>Semestral</t>
  </si>
  <si>
    <t>Trimestral</t>
  </si>
  <si>
    <t>* TODOS LOS COSTOS FUERON CALCULADOS POR UN SOLO EVENTO DE SUBASTA ÚNICAMENTE.</t>
  </si>
  <si>
    <t>* LOS SERVICIOS DE GESTIÓN TRIBUTARIA DEPENDERÁ DEL No. DE INVERSIONISTAS NO EXONERADOS</t>
  </si>
  <si>
    <t xml:space="preserve">Período de pago de Intereses: </t>
  </si>
  <si>
    <t>SIMULADOR SERVICIOS DE CUSTODIA, COMPENSACIÓN Y LIQUIDACIÓN DE VALORES</t>
  </si>
  <si>
    <t>Tasa nominal Intereses:</t>
  </si>
  <si>
    <t>TOTAL ANUAL HNL</t>
  </si>
  <si>
    <t>TOTAL ANUAL US$</t>
  </si>
  <si>
    <t xml:space="preserve">MONEDA DE LA EMISIÓN: </t>
  </si>
  <si>
    <t>LEMPIRAS</t>
  </si>
  <si>
    <t>DÓLARES</t>
  </si>
  <si>
    <t>Inscripción por Depositante Directo o Indirecto</t>
  </si>
  <si>
    <t>Cuota anual de mantenimiento al Emisor</t>
  </si>
  <si>
    <t>Base de Cálculo</t>
  </si>
  <si>
    <t>Responsable del Pago</t>
  </si>
  <si>
    <t>Plazo del Pago</t>
  </si>
  <si>
    <t>Depositante Directo o Indirecto</t>
  </si>
  <si>
    <t>5 días hábiles después de realizada la inscripción</t>
  </si>
  <si>
    <t>Emisor</t>
  </si>
  <si>
    <t>Cuota única de inscripción para la Persona natural o jurídica que utilice los  servicios de custodia, compensación y liquidación nacionales o extranjeros.</t>
  </si>
  <si>
    <t>Cuota anual que se cobrará en el mes en que se firmó contrato con la BCV hasta el vencimiento de las series vigentes de cada Programa de Emisión.</t>
  </si>
  <si>
    <t>Liquidación electrónica de subastas</t>
  </si>
  <si>
    <t>Por evento</t>
  </si>
  <si>
    <t>Por evento de subasta</t>
  </si>
  <si>
    <t>5 días hábiles después de realizada la subasta</t>
  </si>
  <si>
    <t>Cuota por servicios de liquidación electrónica a Emisores</t>
  </si>
  <si>
    <t>Depositante Directo,  Indirecto</t>
  </si>
  <si>
    <t>5 días hábiles después de emitida la constancia</t>
  </si>
  <si>
    <t>Por solicitud recibida en físico o por correo electrónico</t>
  </si>
  <si>
    <t>5 días hábiles después de realizada la gestión</t>
  </si>
  <si>
    <t>Cargo al Emisor que solicita la administración, liquidación y pago de capital y derechos patrimoniales de sus emisiones.</t>
  </si>
  <si>
    <t>Depositante Directo,  Indirecto, Emisor</t>
  </si>
  <si>
    <t>5 días hábiles después de emitida la constancia de Saldos Históricos</t>
  </si>
  <si>
    <t>5 días hábiles después de emitida la Confirmación de Saldos</t>
  </si>
  <si>
    <t>5 días hábiles después de realizado el servicio</t>
  </si>
  <si>
    <t>Por hora</t>
  </si>
  <si>
    <t>Observaciones</t>
  </si>
  <si>
    <t>Mensual</t>
  </si>
  <si>
    <t>Valor nominal de valores en Custodia</t>
  </si>
  <si>
    <t>5 días hábiles después del cierre de cada mes</t>
  </si>
  <si>
    <t>Servicio de Custodia al Emisor sobre el saldo promedio mensual en las cuentas de valores al cierre de cada mes.</t>
  </si>
  <si>
    <t>Tarifa/Comisión</t>
  </si>
  <si>
    <t>Valor nominal de valores depositados en Custodia</t>
  </si>
  <si>
    <t>5 días hábiles después del Depósito de Valores</t>
  </si>
  <si>
    <r>
      <t xml:space="preserve">Por la suma del valor nominal de las series a colocar en mercado Primario. </t>
    </r>
    <r>
      <rPr>
        <b/>
        <sz val="11"/>
        <rFont val="Tahoma"/>
        <family val="2"/>
      </rPr>
      <t>Comisión máxima $600.00</t>
    </r>
  </si>
  <si>
    <t>Valor nominal de valores transferidos</t>
  </si>
  <si>
    <t>Por solicitud recibida por parte de la Casa de Bolsa, a requerimiento de la CNBS o entidad competente.</t>
  </si>
  <si>
    <t>Recaudación de amortizaciones de principal</t>
  </si>
  <si>
    <t>Al vencimiento</t>
  </si>
  <si>
    <t>Sobre el monto del principal a pagar al vencimiento o amortización de capital</t>
  </si>
  <si>
    <t>Cargo al Emisor por recaudación de principal de sus emisiones a los depositantes.</t>
  </si>
  <si>
    <t>Recaudación de cupones de intereses</t>
  </si>
  <si>
    <t xml:space="preserve">Mensualmente </t>
  </si>
  <si>
    <t>Sobre el monto del principal</t>
  </si>
  <si>
    <t>Cargo al Emisor por recaudación de derechos patrimoniales de sus emisiones a los depositantes.</t>
  </si>
  <si>
    <t>ACH por Transferencias a los Inversionistas</t>
  </si>
  <si>
    <t>Por transferencia</t>
  </si>
  <si>
    <t>El día de pago de capital o intereses</t>
  </si>
  <si>
    <t>Cargo al Emisor por pago de capital y derechos patrimoniales de sus emisiones a los depositantes.</t>
  </si>
  <si>
    <t>* LAS CONFIRMACIONES DE SALDOS DEPENDERÁ DEL No. DE VECES QUE EL EMISOR LO SOLICITE.</t>
  </si>
  <si>
    <t>Tarifario aprobado por el Consejo de Administración de la BCV, según consta en Acta No. CA-07-15-07-2024, punto No. 15.</t>
  </si>
  <si>
    <t>Rangos de Tenencia</t>
  </si>
  <si>
    <t>Monto de la Emisión</t>
  </si>
  <si>
    <t>No. Total de Series</t>
  </si>
  <si>
    <t>Plazo de la Emisión</t>
  </si>
  <si>
    <t xml:space="preserve">No. </t>
  </si>
  <si>
    <t>SERVICIO</t>
  </si>
  <si>
    <t>TARIFA</t>
  </si>
  <si>
    <t>BASE CÁLCULO</t>
  </si>
  <si>
    <t>ÚNICO</t>
  </si>
  <si>
    <t>AÑO 1</t>
  </si>
  <si>
    <t>AÑO 2</t>
  </si>
  <si>
    <t>AÑO 3</t>
  </si>
  <si>
    <t>AÑO 4</t>
  </si>
  <si>
    <t>AÑO 5</t>
  </si>
  <si>
    <t>Total</t>
  </si>
  <si>
    <t>Registro de Emisores proveniente de la BCV</t>
  </si>
  <si>
    <t>Tipo de Cambio</t>
  </si>
  <si>
    <t>Registro de Emisión</t>
  </si>
  <si>
    <t>Registro de Serie de Emisión Registrada</t>
  </si>
  <si>
    <t>Denominación de la Emisión</t>
  </si>
  <si>
    <t>Mantenimiento Anual de Emisores Registrados</t>
  </si>
  <si>
    <t>TOTAL</t>
  </si>
  <si>
    <t>Monto Nominal de cada Serie</t>
  </si>
  <si>
    <t>Tasa de Interés de las Series</t>
  </si>
  <si>
    <t>Depósito de Valores</t>
  </si>
  <si>
    <t>Liquidación de Fondos al Emisor Mdo Primario</t>
  </si>
  <si>
    <t xml:space="preserve">Custodia de Valores </t>
  </si>
  <si>
    <t>AÑO 6</t>
  </si>
  <si>
    <t>AÑO 7</t>
  </si>
  <si>
    <t>AÑO 8</t>
  </si>
  <si>
    <t>AÑO 9</t>
  </si>
  <si>
    <t>AÑO 10</t>
  </si>
  <si>
    <t>AÑOS</t>
  </si>
  <si>
    <t>.</t>
  </si>
  <si>
    <t>..</t>
  </si>
  <si>
    <t>…</t>
  </si>
  <si>
    <t>Recaudación y Pago de Intereses</t>
  </si>
  <si>
    <t>Recaudación y Pago de Amortizaciones</t>
  </si>
  <si>
    <t>DATOS GENERALES DE LA EMISIÓN</t>
  </si>
  <si>
    <t>SIMULACIÓN SERVICIOS DE CUSTODIA, COMPENSACIÓN Y LIQUIDACIÓN DE VALORES</t>
  </si>
  <si>
    <t>Nota Importante</t>
  </si>
  <si>
    <r>
      <t xml:space="preserve">Si la Denominación de la Emisión es </t>
    </r>
    <r>
      <rPr>
        <b/>
        <sz val="11"/>
        <color theme="9" tint="-0.499984740745262"/>
        <rFont val="Segoe UI"/>
        <family val="2"/>
      </rPr>
      <t>"Dólares"</t>
    </r>
    <r>
      <rPr>
        <sz val="11"/>
        <color theme="1"/>
        <rFont val="Segoe UI"/>
        <family val="2"/>
      </rPr>
      <t xml:space="preserve"> el resultado de la simulación será mostrado en </t>
    </r>
    <r>
      <rPr>
        <b/>
        <sz val="11"/>
        <color theme="9" tint="-0.499984740745262"/>
        <rFont val="Segoe UI"/>
        <family val="2"/>
      </rPr>
      <t>Dólares</t>
    </r>
    <r>
      <rPr>
        <sz val="11"/>
        <color theme="1"/>
        <rFont val="Segoe UI"/>
        <family val="2"/>
      </rPr>
      <t xml:space="preserve">, si es </t>
    </r>
    <r>
      <rPr>
        <b/>
        <sz val="11"/>
        <color theme="5" tint="-0.499984740745262"/>
        <rFont val="Segoe UI"/>
        <family val="2"/>
      </rPr>
      <t>"Lempiras"</t>
    </r>
    <r>
      <rPr>
        <sz val="11"/>
        <color theme="1"/>
        <rFont val="Segoe UI"/>
        <family val="2"/>
      </rPr>
      <t xml:space="preserve"> el resultado de la simulación será calculado al tipo de cambio que se registre y mostrado en </t>
    </r>
    <r>
      <rPr>
        <b/>
        <sz val="11"/>
        <color theme="5" tint="-0.499984740745262"/>
        <rFont val="Segoe UI"/>
        <family val="2"/>
      </rPr>
      <t>"Lempiras"</t>
    </r>
    <r>
      <rPr>
        <sz val="11"/>
        <color theme="1"/>
        <rFont val="Segoe UI"/>
        <family val="2"/>
      </rPr>
      <t>.</t>
    </r>
  </si>
  <si>
    <t>Moneda</t>
  </si>
  <si>
    <t>* TODOS LOS COSTOS FUERON CALCULADOS POR UN SOLO EVENTO DE SUBASTA.</t>
  </si>
  <si>
    <t>* CUOTA DE REGISTRO DE EMISOR SE PAGA UNA ÚNICA VEZ (NO ES ANUAL).</t>
  </si>
  <si>
    <t>Confirmación de Saldos Auditores Externos</t>
  </si>
  <si>
    <t>Confirmación de Saldos Auditores Internos</t>
  </si>
  <si>
    <t>* SE CONSIDERÓ UNA SOLICITUD ANUAL DE CONFIRMACION DE SALDOS DE AUDITORES EXTERNOS E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</si>
</sst>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L&quot;* #,##0.00_-;\-&quot;L&quot;* #,##0.00_-;_-&quot;L&quot;* &quot;-&quot;??_-;_-@_-"/>
    <numFmt numFmtId="43" formatCode="_-* #,##0.00_-;\-* #,##0.00_-;_-* &quot;-&quot;??_-;_-@_-"/>
    <numFmt numFmtId="164" formatCode="[$$-409]#,##0.00_ ;\-[$$-409]#,##0.00\ "/>
    <numFmt numFmtId="165" formatCode="0.000000%"/>
    <numFmt numFmtId="166" formatCode="0.0000%"/>
    <numFmt numFmtId="167" formatCode="0.000%"/>
    <numFmt numFmtId="168" formatCode="0.00000%"/>
    <numFmt numFmtId="169" formatCode="_-&quot;L&quot;* #,##0.0000_-;\-&quot;L&quot;* #,##0.0000_-;_-&quot;L&quot;* &quot;-&quot;??_-;_-@_-"/>
    <numFmt numFmtId="170" formatCode="_-[$$-540A]* #,##0.00_ ;_-[$$-540A]* \-#,##0.00\ ;_-[$$-540A]* &quot;-&quot;??_ ;_-@_ "/>
  </numFmts>
  <fonts count="33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4"/>
      <color theme="0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9"/>
      <color rgb="FFC00000"/>
      <name val="Tahoma"/>
      <family val="2"/>
    </font>
    <font>
      <b/>
      <sz val="14"/>
      <color theme="1"/>
      <name val="Tahoma"/>
      <family val="2"/>
    </font>
    <font>
      <b/>
      <u/>
      <sz val="11"/>
      <color theme="1"/>
      <name val="Tahoma"/>
      <family val="2"/>
    </font>
    <font>
      <sz val="8"/>
      <name val="Arial"/>
      <family val="2"/>
    </font>
    <font>
      <b/>
      <sz val="11"/>
      <color theme="2" tint="-9.9978637043366805E-2"/>
      <name val="Tahoma"/>
      <family val="2"/>
    </font>
    <font>
      <b/>
      <sz val="10"/>
      <color theme="1"/>
      <name val="Tahoma"/>
      <family val="2"/>
    </font>
    <font>
      <sz val="14"/>
      <name val="Tahoma"/>
      <family val="2"/>
    </font>
    <font>
      <sz val="11"/>
      <color theme="0"/>
      <name val="Tahoma"/>
      <family val="2"/>
    </font>
    <font>
      <b/>
      <sz val="14"/>
      <color rgb="FFC00000"/>
      <name val="Tahoma"/>
      <family val="2"/>
    </font>
    <font>
      <b/>
      <sz val="12"/>
      <color rgb="FFC00000"/>
      <name val="Tahoma"/>
      <family val="2"/>
    </font>
    <font>
      <b/>
      <sz val="11"/>
      <color theme="1"/>
      <name val="Segoe UI"/>
      <family val="2"/>
    </font>
    <font>
      <sz val="11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000000"/>
      <name val="Segoe UI"/>
      <family val="2"/>
    </font>
    <font>
      <b/>
      <sz val="11"/>
      <color theme="9" tint="-0.499984740745262"/>
      <name val="Segoe UI"/>
      <family val="2"/>
    </font>
    <font>
      <b/>
      <sz val="11"/>
      <color theme="5" tint="-0.499984740745262"/>
      <name val="Segoe UI"/>
      <family val="2"/>
    </font>
    <font>
      <b/>
      <sz val="18"/>
      <color theme="1"/>
      <name val="Segoe UI"/>
      <family val="2"/>
    </font>
    <font>
      <b/>
      <u/>
      <sz val="11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6" borderId="0" applyNumberFormat="0" applyBorder="0" applyAlignment="0" applyProtection="0"/>
    <xf numFmtId="0" fontId="6" fillId="0" borderId="0"/>
    <xf numFmtId="43" fontId="5" fillId="0" borderId="0" applyFont="0" applyFill="0" applyBorder="0" applyAlignment="0" applyProtection="0"/>
  </cellStyleXfs>
  <cellXfs count="138">
    <xf numFmtId="0" fontId="0" fillId="0" borderId="0" xfId="0"/>
    <xf numFmtId="43" fontId="0" fillId="0" borderId="0" xfId="1" applyFont="1"/>
    <xf numFmtId="0" fontId="8" fillId="0" borderId="0" xfId="2" applyFont="1"/>
    <xf numFmtId="0" fontId="8" fillId="0" borderId="0" xfId="2" applyFont="1" applyAlignment="1">
      <alignment wrapText="1"/>
    </xf>
    <xf numFmtId="0" fontId="9" fillId="2" borderId="4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10" fillId="4" borderId="1" xfId="2" applyFont="1" applyFill="1" applyBorder="1" applyAlignment="1">
      <alignment horizontal="center"/>
    </xf>
    <xf numFmtId="0" fontId="10" fillId="4" borderId="1" xfId="2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64" fontId="8" fillId="0" borderId="1" xfId="3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wrapText="1"/>
    </xf>
    <xf numFmtId="0" fontId="10" fillId="4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0" borderId="0" xfId="2" applyFont="1"/>
    <xf numFmtId="0" fontId="13" fillId="2" borderId="1" xfId="2" applyFont="1" applyFill="1" applyBorder="1" applyAlignment="1">
      <alignment horizontal="center"/>
    </xf>
    <xf numFmtId="165" fontId="8" fillId="0" borderId="1" xfId="4" applyNumberFormat="1" applyFont="1" applyBorder="1" applyAlignment="1">
      <alignment horizontal="center" vertical="top"/>
    </xf>
    <xf numFmtId="0" fontId="8" fillId="0" borderId="0" xfId="2" applyFont="1" applyAlignment="1">
      <alignment vertical="top"/>
    </xf>
    <xf numFmtId="166" fontId="12" fillId="3" borderId="1" xfId="4" applyNumberFormat="1" applyFont="1" applyFill="1" applyBorder="1" applyAlignment="1">
      <alignment horizontal="center" vertical="top"/>
    </xf>
    <xf numFmtId="0" fontId="9" fillId="2" borderId="5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164" fontId="10" fillId="0" borderId="0" xfId="2" applyNumberFormat="1" applyFont="1"/>
    <xf numFmtId="0" fontId="16" fillId="0" borderId="0" xfId="2" applyFont="1"/>
    <xf numFmtId="0" fontId="11" fillId="4" borderId="1" xfId="2" applyFont="1" applyFill="1" applyBorder="1" applyAlignment="1">
      <alignment horizontal="center"/>
    </xf>
    <xf numFmtId="0" fontId="15" fillId="0" borderId="0" xfId="2" applyFont="1" applyAlignment="1">
      <alignment horizontal="right"/>
    </xf>
    <xf numFmtId="0" fontId="18" fillId="4" borderId="1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13" fillId="2" borderId="1" xfId="2" applyFont="1" applyFill="1" applyBorder="1"/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top"/>
    </xf>
    <xf numFmtId="0" fontId="20" fillId="0" borderId="0" xfId="1" applyNumberFormat="1" applyFont="1" applyAlignment="1">
      <alignment horizontal="left" indent="2"/>
    </xf>
    <xf numFmtId="0" fontId="19" fillId="0" borderId="0" xfId="2" applyFont="1" applyAlignment="1">
      <alignment wrapText="1"/>
    </xf>
    <xf numFmtId="0" fontId="8" fillId="5" borderId="1" xfId="2" applyFont="1" applyFill="1" applyBorder="1" applyAlignment="1">
      <alignment vertical="top"/>
    </xf>
    <xf numFmtId="166" fontId="12" fillId="5" borderId="1" xfId="4" applyNumberFormat="1" applyFont="1" applyFill="1" applyBorder="1" applyAlignment="1">
      <alignment horizontal="center" vertical="top"/>
    </xf>
    <xf numFmtId="0" fontId="12" fillId="5" borderId="1" xfId="2" applyFont="1" applyFill="1" applyBorder="1" applyAlignment="1">
      <alignment horizontal="justify" wrapText="1"/>
    </xf>
    <xf numFmtId="0" fontId="12" fillId="5" borderId="1" xfId="2" applyFont="1" applyFill="1" applyBorder="1" applyAlignment="1">
      <alignment horizontal="left" vertical="top" wrapText="1"/>
    </xf>
    <xf numFmtId="0" fontId="11" fillId="4" borderId="1" xfId="2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164" fontId="8" fillId="0" borderId="1" xfId="3" applyNumberFormat="1" applyFont="1" applyFill="1" applyBorder="1" applyAlignment="1">
      <alignment horizontal="center" vertical="center"/>
    </xf>
    <xf numFmtId="0" fontId="21" fillId="0" borderId="0" xfId="2" applyFont="1"/>
    <xf numFmtId="0" fontId="22" fillId="0" borderId="0" xfId="1" applyNumberFormat="1" applyFont="1" applyAlignment="1" applyProtection="1">
      <alignment horizontal="left" indent="2"/>
      <protection locked="0"/>
    </xf>
    <xf numFmtId="167" fontId="22" fillId="0" borderId="0" xfId="5" applyNumberFormat="1" applyFont="1" applyAlignment="1" applyProtection="1">
      <alignment horizontal="left" indent="2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3" borderId="0" xfId="2" applyFont="1" applyFill="1" applyAlignment="1">
      <alignment horizontal="left" vertical="top"/>
    </xf>
    <xf numFmtId="167" fontId="12" fillId="3" borderId="0" xfId="5" applyNumberFormat="1" applyFont="1" applyFill="1" applyBorder="1" applyAlignment="1">
      <alignment horizontal="center" vertical="top"/>
    </xf>
    <xf numFmtId="0" fontId="12" fillId="3" borderId="0" xfId="2" applyFont="1" applyFill="1" applyAlignment="1">
      <alignment horizontal="left" vertical="top" wrapText="1"/>
    </xf>
    <xf numFmtId="0" fontId="8" fillId="0" borderId="0" xfId="2" applyFont="1" applyAlignment="1">
      <alignment horizontal="justify" vertical="center" wrapText="1"/>
    </xf>
    <xf numFmtId="4" fontId="8" fillId="0" borderId="1" xfId="2" applyNumberFormat="1" applyFont="1" applyBorder="1" applyAlignment="1">
      <alignment horizontal="center" vertical="center"/>
    </xf>
    <xf numFmtId="4" fontId="8" fillId="0" borderId="1" xfId="3" applyNumberFormat="1" applyFont="1" applyBorder="1" applyAlignment="1">
      <alignment horizontal="center" vertical="center"/>
    </xf>
    <xf numFmtId="4" fontId="9" fillId="2" borderId="1" xfId="2" applyNumberFormat="1" applyFont="1" applyFill="1" applyBorder="1" applyAlignment="1">
      <alignment horizontal="center"/>
    </xf>
    <xf numFmtId="4" fontId="11" fillId="4" borderId="1" xfId="2" applyNumberFormat="1" applyFont="1" applyFill="1" applyBorder="1" applyAlignment="1">
      <alignment horizontal="center"/>
    </xf>
    <xf numFmtId="4" fontId="13" fillId="2" borderId="1" xfId="2" applyNumberFormat="1" applyFont="1" applyFill="1" applyBorder="1"/>
    <xf numFmtId="4" fontId="10" fillId="4" borderId="1" xfId="2" applyNumberFormat="1" applyFont="1" applyFill="1" applyBorder="1" applyAlignment="1">
      <alignment horizontal="center" vertical="center"/>
    </xf>
    <xf numFmtId="4" fontId="8" fillId="5" borderId="1" xfId="3" applyNumberFormat="1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/>
    </xf>
    <xf numFmtId="4" fontId="13" fillId="2" borderId="1" xfId="2" applyNumberFormat="1" applyFont="1" applyFill="1" applyBorder="1" applyAlignment="1">
      <alignment horizontal="center"/>
    </xf>
    <xf numFmtId="4" fontId="11" fillId="4" borderId="1" xfId="2" applyNumberFormat="1" applyFont="1" applyFill="1" applyBorder="1" applyAlignment="1">
      <alignment horizontal="center" vertical="center"/>
    </xf>
    <xf numFmtId="4" fontId="8" fillId="0" borderId="0" xfId="3" applyNumberFormat="1" applyFont="1" applyBorder="1" applyAlignment="1">
      <alignment horizontal="center" vertical="center"/>
    </xf>
    <xf numFmtId="4" fontId="8" fillId="0" borderId="0" xfId="2" applyNumberFormat="1" applyFont="1"/>
    <xf numFmtId="4" fontId="10" fillId="0" borderId="0" xfId="2" applyNumberFormat="1" applyFont="1"/>
    <xf numFmtId="4" fontId="10" fillId="0" borderId="1" xfId="2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166" fontId="12" fillId="3" borderId="1" xfId="4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/>
    </xf>
    <xf numFmtId="4" fontId="8" fillId="0" borderId="6" xfId="2" applyNumberFormat="1" applyFont="1" applyBorder="1" applyAlignment="1">
      <alignment horizontal="center" vertical="center"/>
    </xf>
    <xf numFmtId="4" fontId="9" fillId="2" borderId="6" xfId="2" applyNumberFormat="1" applyFont="1" applyFill="1" applyBorder="1" applyAlignment="1">
      <alignment horizontal="center"/>
    </xf>
    <xf numFmtId="4" fontId="10" fillId="4" borderId="6" xfId="2" applyNumberFormat="1" applyFont="1" applyFill="1" applyBorder="1" applyAlignment="1">
      <alignment horizontal="center"/>
    </xf>
    <xf numFmtId="4" fontId="13" fillId="2" borderId="6" xfId="2" applyNumberFormat="1" applyFont="1" applyFill="1" applyBorder="1"/>
    <xf numFmtId="4" fontId="10" fillId="4" borderId="6" xfId="2" applyNumberFormat="1" applyFont="1" applyFill="1" applyBorder="1" applyAlignment="1">
      <alignment horizontal="center" vertical="center"/>
    </xf>
    <xf numFmtId="4" fontId="12" fillId="0" borderId="6" xfId="2" applyNumberFormat="1" applyFont="1" applyBorder="1" applyAlignment="1">
      <alignment horizontal="justify" vertical="center"/>
    </xf>
    <xf numFmtId="4" fontId="13" fillId="2" borderId="6" xfId="2" applyNumberFormat="1" applyFont="1" applyFill="1" applyBorder="1" applyAlignment="1">
      <alignment horizontal="center"/>
    </xf>
    <xf numFmtId="4" fontId="11" fillId="4" borderId="6" xfId="2" applyNumberFormat="1" applyFont="1" applyFill="1" applyBorder="1" applyAlignment="1">
      <alignment horizontal="center" vertical="center"/>
    </xf>
    <xf numFmtId="4" fontId="8" fillId="0" borderId="6" xfId="3" applyNumberFormat="1" applyFont="1" applyBorder="1" applyAlignment="1">
      <alignment horizontal="center" vertical="center"/>
    </xf>
    <xf numFmtId="4" fontId="11" fillId="4" borderId="6" xfId="2" applyNumberFormat="1" applyFont="1" applyFill="1" applyBorder="1" applyAlignment="1">
      <alignment horizontal="center"/>
    </xf>
    <xf numFmtId="4" fontId="8" fillId="5" borderId="6" xfId="3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8" fontId="12" fillId="3" borderId="1" xfId="4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/>
    </xf>
    <xf numFmtId="0" fontId="14" fillId="0" borderId="0" xfId="0" applyFont="1"/>
    <xf numFmtId="43" fontId="23" fillId="0" borderId="0" xfId="1" applyFont="1" applyProtection="1">
      <protection locked="0"/>
    </xf>
    <xf numFmtId="0" fontId="23" fillId="0" borderId="0" xfId="1" applyNumberFormat="1" applyFont="1" applyAlignment="1" applyProtection="1">
      <alignment horizontal="left" indent="7"/>
      <protection locked="0"/>
    </xf>
    <xf numFmtId="0" fontId="23" fillId="0" borderId="0" xfId="1" applyNumberFormat="1" applyFont="1" applyAlignment="1" applyProtection="1">
      <alignment horizontal="center"/>
      <protection locked="0"/>
    </xf>
    <xf numFmtId="4" fontId="12" fillId="0" borderId="6" xfId="2" applyNumberFormat="1" applyFont="1" applyBorder="1" applyAlignment="1">
      <alignment horizontal="center" vertical="center"/>
    </xf>
    <xf numFmtId="4" fontId="12" fillId="0" borderId="1" xfId="3" applyNumberFormat="1" applyFont="1" applyFill="1" applyBorder="1" applyAlignment="1">
      <alignment horizontal="center" vertical="center"/>
    </xf>
    <xf numFmtId="43" fontId="4" fillId="0" borderId="0" xfId="3" applyFont="1"/>
    <xf numFmtId="0" fontId="4" fillId="0" borderId="0" xfId="8" applyFont="1"/>
    <xf numFmtId="0" fontId="26" fillId="0" borderId="0" xfId="8" applyFont="1"/>
    <xf numFmtId="43" fontId="26" fillId="0" borderId="0" xfId="3" applyFont="1"/>
    <xf numFmtId="0" fontId="26" fillId="0" borderId="0" xfId="8" applyFont="1" applyAlignment="1">
      <alignment horizontal="right"/>
    </xf>
    <xf numFmtId="170" fontId="24" fillId="0" borderId="0" xfId="0" applyNumberFormat="1" applyFont="1"/>
    <xf numFmtId="0" fontId="27" fillId="0" borderId="0" xfId="8" applyFont="1" applyAlignment="1">
      <alignment horizontal="center"/>
    </xf>
    <xf numFmtId="0" fontId="4" fillId="0" borderId="0" xfId="2" applyFont="1"/>
    <xf numFmtId="0" fontId="25" fillId="6" borderId="0" xfId="7" applyAlignment="1">
      <alignment horizontal="center"/>
    </xf>
    <xf numFmtId="0" fontId="26" fillId="0" borderId="0" xfId="8" applyFont="1" applyAlignment="1">
      <alignment horizontal="center" vertical="center"/>
    </xf>
    <xf numFmtId="170" fontId="26" fillId="0" borderId="0" xfId="8" applyNumberFormat="1" applyFont="1" applyAlignment="1">
      <alignment horizontal="center" vertical="center"/>
    </xf>
    <xf numFmtId="43" fontId="26" fillId="0" borderId="0" xfId="3" applyFont="1" applyAlignment="1">
      <alignment horizontal="center" vertical="center"/>
    </xf>
    <xf numFmtId="166" fontId="26" fillId="0" borderId="0" xfId="5" applyNumberFormat="1" applyFont="1" applyAlignment="1">
      <alignment horizontal="center" vertical="center"/>
    </xf>
    <xf numFmtId="0" fontId="25" fillId="7" borderId="0" xfId="0" applyFont="1" applyFill="1"/>
    <xf numFmtId="43" fontId="25" fillId="7" borderId="0" xfId="0" applyNumberFormat="1" applyFont="1" applyFill="1"/>
    <xf numFmtId="43" fontId="27" fillId="0" borderId="0" xfId="1" applyFont="1"/>
    <xf numFmtId="169" fontId="27" fillId="0" borderId="0" xfId="6" applyNumberFormat="1" applyFont="1" applyAlignment="1">
      <alignment horizontal="center" vertical="center"/>
    </xf>
    <xf numFmtId="10" fontId="27" fillId="0" borderId="0" xfId="5" applyNumberFormat="1" applyFont="1" applyAlignment="1">
      <alignment horizontal="center" vertical="center"/>
    </xf>
    <xf numFmtId="43" fontId="26" fillId="0" borderId="0" xfId="3" applyFont="1" applyAlignment="1">
      <alignment horizontal="center"/>
    </xf>
    <xf numFmtId="43" fontId="4" fillId="0" borderId="0" xfId="1" applyFont="1"/>
    <xf numFmtId="43" fontId="25" fillId="6" borderId="7" xfId="1" applyFont="1" applyFill="1" applyBorder="1" applyAlignment="1">
      <alignment horizontal="center"/>
    </xf>
    <xf numFmtId="43" fontId="28" fillId="0" borderId="0" xfId="1" applyFont="1" applyFill="1"/>
    <xf numFmtId="43" fontId="26" fillId="0" borderId="0" xfId="1" applyFont="1" applyAlignment="1">
      <alignment horizontal="center" vertical="center"/>
    </xf>
    <xf numFmtId="43" fontId="26" fillId="0" borderId="0" xfId="1" applyFont="1"/>
    <xf numFmtId="0" fontId="26" fillId="0" borderId="0" xfId="8" applyFont="1" applyAlignment="1">
      <alignment horizontal="left"/>
    </xf>
    <xf numFmtId="43" fontId="4" fillId="0" borderId="0" xfId="3" applyFont="1" applyAlignment="1"/>
    <xf numFmtId="43" fontId="27" fillId="0" borderId="0" xfId="1" applyFont="1" applyProtection="1">
      <protection locked="0"/>
    </xf>
    <xf numFmtId="0" fontId="27" fillId="0" borderId="0" xfId="8" applyFont="1" applyAlignment="1" applyProtection="1">
      <alignment horizontal="center"/>
      <protection locked="0"/>
    </xf>
    <xf numFmtId="169" fontId="27" fillId="0" borderId="0" xfId="6" applyNumberFormat="1" applyFont="1" applyAlignment="1" applyProtection="1">
      <alignment horizontal="center" vertical="center"/>
      <protection locked="0"/>
    </xf>
    <xf numFmtId="10" fontId="27" fillId="0" borderId="0" xfId="5" applyNumberFormat="1" applyFont="1" applyAlignment="1" applyProtection="1">
      <alignment horizontal="center" vertical="center"/>
      <protection locked="0"/>
    </xf>
    <xf numFmtId="43" fontId="27" fillId="0" borderId="0" xfId="3" applyFont="1" applyAlignment="1" applyProtection="1">
      <alignment horizontal="center"/>
      <protection locked="0"/>
    </xf>
    <xf numFmtId="0" fontId="3" fillId="0" borderId="0" xfId="3" applyNumberFormat="1" applyFont="1" applyAlignment="1">
      <alignment vertical="top"/>
    </xf>
    <xf numFmtId="0" fontId="2" fillId="0" borderId="0" xfId="3" applyNumberFormat="1" applyFont="1" applyAlignment="1">
      <alignment vertical="top"/>
    </xf>
    <xf numFmtId="43" fontId="28" fillId="0" borderId="0" xfId="1" applyFont="1"/>
    <xf numFmtId="0" fontId="32" fillId="0" borderId="0" xfId="3" applyNumberFormat="1" applyFont="1" applyAlignment="1">
      <alignment vertical="top"/>
    </xf>
    <xf numFmtId="0" fontId="32" fillId="0" borderId="0" xfId="3" applyNumberFormat="1" applyFont="1" applyAlignment="1"/>
    <xf numFmtId="0" fontId="9" fillId="2" borderId="1" xfId="2" applyFont="1" applyFill="1" applyBorder="1" applyAlignment="1">
      <alignment horizontal="center"/>
    </xf>
    <xf numFmtId="0" fontId="12" fillId="5" borderId="1" xfId="2" applyFont="1" applyFill="1" applyBorder="1" applyAlignment="1">
      <alignment horizontal="left" vertical="top" wrapText="1"/>
    </xf>
    <xf numFmtId="0" fontId="7" fillId="0" borderId="0" xfId="2" applyFont="1" applyAlignment="1">
      <alignment horizontal="center"/>
    </xf>
    <xf numFmtId="0" fontId="31" fillId="0" borderId="0" xfId="8" applyFont="1" applyAlignment="1">
      <alignment horizontal="center"/>
    </xf>
    <xf numFmtId="0" fontId="3" fillId="0" borderId="0" xfId="3" applyNumberFormat="1" applyFont="1" applyAlignment="1">
      <alignment horizontal="justify" vertical="top" wrapText="1"/>
    </xf>
  </cellXfs>
  <cellStyles count="10">
    <cellStyle name="Énfasis1" xfId="7" builtinId="29"/>
    <cellStyle name="Millares" xfId="1" builtinId="3"/>
    <cellStyle name="Millares 2" xfId="3" xr:uid="{64955A99-0F57-4D80-9595-FE25DDF11D99}"/>
    <cellStyle name="Millares 3" xfId="9" xr:uid="{3909F29C-C21A-47B0-B896-2E457463E43E}"/>
    <cellStyle name="Moneda" xfId="6" builtinId="4"/>
    <cellStyle name="Normal" xfId="0" builtinId="0"/>
    <cellStyle name="Normal 2" xfId="2" xr:uid="{D4E0B1C6-E933-40B9-A672-DD615C405828}"/>
    <cellStyle name="Normal 4" xfId="8" xr:uid="{93E40526-F8FA-45F9-A55C-1D468CA6C21E}"/>
    <cellStyle name="Porcentaje" xfId="5" builtinId="5"/>
    <cellStyle name="Porcentaje 2" xfId="4" xr:uid="{0D338307-B76E-4B03-A74A-4AC9A18DCC5A}"/>
  </cellStyles>
  <dxfs count="38"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55881</xdr:colOff>
      <xdr:row>2</xdr:row>
      <xdr:rowOff>25400</xdr:rowOff>
    </xdr:from>
    <xdr:to>
      <xdr:col>2</xdr:col>
      <xdr:colOff>555626</xdr:colOff>
      <xdr:row>5</xdr:row>
      <xdr:rowOff>136405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E339E3-CA68-4447-85B1-14C14260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1" y="381000"/>
          <a:ext cx="3314700" cy="636785"/>
        </a:xfrm>
        <a:prstGeom prst="rect">
          <a:avLst/>
        </a:prstGeom>
      </xdr:spPr>
    </xdr:pic>
    <xdr:clientData/>
  </xdr:twoCellAnchor>
  <xdr:twoCellAnchor>
    <xdr:from>
      <xdr:col>7</xdr:col>
      <xdr:colOff>1116965</xdr:colOff>
      <xdr:row>7</xdr:row>
      <xdr:rowOff>31115</xdr:rowOff>
    </xdr:from>
    <xdr:to>
      <xdr:col>8</xdr:col>
      <xdr:colOff>790575</xdr:colOff>
      <xdr:row>10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0F6728D-B608-CC5C-9E4D-C9029F78661B}"/>
            </a:ext>
          </a:extLst>
        </xdr:cNvPr>
        <xdr:cNvSpPr txBox="1"/>
      </xdr:nvSpPr>
      <xdr:spPr>
        <a:xfrm>
          <a:off x="14518640" y="1231265"/>
          <a:ext cx="4455160" cy="721360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HN" sz="1600" b="1">
              <a:solidFill>
                <a:srgbClr val="C00000"/>
              </a:solidFill>
            </a:rPr>
            <a:t>INSTRUCCIONES</a:t>
          </a:r>
        </a:p>
        <a:p>
          <a:pPr algn="ctr"/>
          <a:r>
            <a:rPr lang="es-HN" sz="1600" b="1">
              <a:solidFill>
                <a:srgbClr val="C00000"/>
              </a:solidFill>
            </a:rPr>
            <a:t>INSERTAR SOLAMENTE LOS</a:t>
          </a:r>
          <a:r>
            <a:rPr lang="es-HN" sz="1600" b="1" baseline="0">
              <a:solidFill>
                <a:srgbClr val="C00000"/>
              </a:solidFill>
            </a:rPr>
            <a:t> VALORES EN ROJO</a:t>
          </a:r>
          <a:endParaRPr lang="es-HN" sz="1600" b="1">
            <a:solidFill>
              <a:srgbClr val="C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A10449-F7F8-4A67-A42F-DB5C6718F0FC}" name="Tabla3610" displayName="Tabla3610" ref="F6:U18" totalsRowCount="1" headerRowDxfId="37" dataDxfId="36" headerRowCellStyle="Énfasis1" dataCellStyle="Normal 4" totalsRowCellStyle="Énfasis1">
  <tableColumns count="16">
    <tableColumn id="12" xr3:uid="{15C600E8-72F1-4ED2-94F0-130AF54DAD98}" name="No. " dataDxfId="35" totalsRowDxfId="34" dataCellStyle="Normal 4">
      <calculatedColumnFormula>+#REF!</calculatedColumnFormula>
    </tableColumn>
    <tableColumn id="11" xr3:uid="{2F8D84FF-88E3-42EE-8DFA-130BE36571F7}" name="SERVICIO" totalsRowLabel="TOTAL" dataDxfId="33" totalsRowDxfId="32" dataCellStyle="Normal 4">
      <calculatedColumnFormula>+#REF!</calculatedColumnFormula>
    </tableColumn>
    <tableColumn id="15" xr3:uid="{D9E50B01-AC97-4D70-B99B-A7B49F6F688A}" name="TARIFA" dataDxfId="31" totalsRowDxfId="30" dataCellStyle="Normal 4">
      <calculatedColumnFormula>#REF!</calculatedColumnFormula>
    </tableColumn>
    <tableColumn id="8" xr3:uid="{BEE088FC-C92D-439E-A340-FF6E584C4143}" name="BASE CÁLCULO" dataDxfId="29" totalsRowDxfId="28" dataCellStyle="Millares"/>
    <tableColumn id="4" xr3:uid="{88AA1B03-9E83-464D-97BC-DF423FE4466F}" name="ÚNICO" totalsRowFunction="sum" dataDxfId="27" totalsRowDxfId="26" dataCellStyle="Millares"/>
    <tableColumn id="1" xr3:uid="{C8D631C7-0F35-4185-AF4C-2745E6E7E04C}" name="AÑO 1" totalsRowFunction="sum" dataDxfId="25" totalsRowDxfId="24" dataCellStyle="Millares"/>
    <tableColumn id="2" xr3:uid="{E53E0C28-DF8D-4125-9A33-641A7D680B03}" name="AÑO 2" totalsRowFunction="sum" dataDxfId="23" totalsRowDxfId="22" dataCellStyle="Millares"/>
    <tableColumn id="3" xr3:uid="{9EE5F3F5-16B5-4C24-9AB2-45C87AF3EA98}" name="AÑO 3" totalsRowFunction="sum" dataDxfId="21" totalsRowDxfId="20" dataCellStyle="Millares"/>
    <tableColumn id="5" xr3:uid="{C1BC0BFA-3490-430F-8E0B-A73FA1CC6372}" name="AÑO 4" totalsRowFunction="sum" dataDxfId="19" totalsRowDxfId="18" dataCellStyle="Millares"/>
    <tableColumn id="7" xr3:uid="{6D988E3F-4DDB-40D4-A4A7-9BF9CF4BD8CB}" name="AÑO 5" totalsRowFunction="sum" dataDxfId="17" totalsRowDxfId="16" dataCellStyle="Millares"/>
    <tableColumn id="14" xr3:uid="{81EFEE08-B2DF-4AE2-812E-C18753615E2F}" name="AÑO 6" totalsRowFunction="sum" dataDxfId="15" totalsRowDxfId="14" dataCellStyle="Millares"/>
    <tableColumn id="6" xr3:uid="{6E3A63AB-D810-4272-8DFC-12A804BF2034}" name="AÑO 7" totalsRowFunction="sum" dataDxfId="13" totalsRowDxfId="12" dataCellStyle="Millares"/>
    <tableColumn id="9" xr3:uid="{0E8B030A-B779-4F26-B8CC-4652F30A499F}" name="AÑO 8" totalsRowFunction="sum" dataDxfId="11" totalsRowDxfId="10" dataCellStyle="Millares"/>
    <tableColumn id="10" xr3:uid="{D6EB7D76-7C31-44FC-B9F5-6C68DA90D12D}" name="AÑO 9" totalsRowFunction="sum" dataDxfId="9" totalsRowDxfId="8" dataCellStyle="Millares"/>
    <tableColumn id="13" xr3:uid="{8FE8EAEE-4071-436A-94AC-9BBAEC45892B}" name="AÑO 10" totalsRowFunction="sum" dataDxfId="7" totalsRowDxfId="6" dataCellStyle="Millares"/>
    <tableColumn id="16" xr3:uid="{59208384-43F9-407B-B58D-D9F4C67EAE58}" name="Total" totalsRowFunction="sum" dataDxfId="5" totalsRowDxfId="4" dataCellStyle="Millares">
      <calculatedColumnFormula>SUM(Tabla3610[[#This Row],[ÚNICO]:[AÑO 10]])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A1EA23-3857-4E2B-A757-7D8E02D0AA8A}" name="Tabla5" displayName="Tabla5" ref="B5:D12" totalsRowShown="0" dataDxfId="3">
  <autoFilter ref="B5:D12" xr:uid="{27A1EA23-3857-4E2B-A757-7D8E02D0AA8A}"/>
  <tableColumns count="3">
    <tableColumn id="1" xr3:uid="{DE8CBEE9-F061-4FB7-8769-B33D452D592E}" name="." dataDxfId="2" dataCellStyle="Normal 4"/>
    <tableColumn id="3" xr3:uid="{14E39839-69FE-4B32-9892-0613ABF5FB50}" name=".." dataDxfId="1" dataCellStyle="Normal 4"/>
    <tableColumn id="2" xr3:uid="{AF7386DD-589A-4417-BF45-5372A65FDE6E}" name="…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36D0-5702-4700-9EAE-7A132A1B67A4}">
  <sheetPr>
    <pageSetUpPr fitToPage="1"/>
  </sheetPr>
  <dimension ref="B8:S59"/>
  <sheetViews>
    <sheetView showGridLines="0" topLeftCell="A34" zoomScale="95" zoomScaleNormal="95" workbookViewId="0">
      <selection activeCell="B53" sqref="B53:B59"/>
    </sheetView>
  </sheetViews>
  <sheetFormatPr baseColWidth="10" defaultColWidth="11.5703125" defaultRowHeight="14.25" x14ac:dyDescent="0.2"/>
  <cols>
    <col min="1" max="1" width="5.7109375" style="2" customWidth="1"/>
    <col min="2" max="2" width="41.28515625" style="2" customWidth="1"/>
    <col min="3" max="3" width="24.140625" style="2" customWidth="1"/>
    <col min="4" max="4" width="31" style="3" customWidth="1"/>
    <col min="5" max="6" width="28.28515625" style="2" customWidth="1"/>
    <col min="7" max="7" width="34.28515625" style="2" customWidth="1"/>
    <col min="8" max="8" width="69.7109375" style="2" customWidth="1"/>
    <col min="9" max="9" width="25.28515625" style="2" customWidth="1"/>
    <col min="10" max="19" width="24" style="2" customWidth="1"/>
    <col min="20" max="16384" width="11.5703125" style="2"/>
  </cols>
  <sheetData>
    <row r="8" spans="2:19" ht="19.5" x14ac:dyDescent="0.25">
      <c r="B8" s="135" t="s">
        <v>62</v>
      </c>
      <c r="C8" s="135"/>
      <c r="D8" s="135"/>
      <c r="E8" s="135"/>
      <c r="F8" s="135"/>
      <c r="G8" s="135"/>
      <c r="H8" s="135"/>
    </row>
    <row r="10" spans="2:19" ht="18" x14ac:dyDescent="0.25">
      <c r="B10" s="24" t="s">
        <v>44</v>
      </c>
      <c r="C10" s="92">
        <v>600000000</v>
      </c>
      <c r="E10" s="24" t="s">
        <v>55</v>
      </c>
      <c r="F10" s="40">
        <v>5</v>
      </c>
      <c r="G10" s="24"/>
      <c r="J10" s="31"/>
      <c r="K10" s="31"/>
    </row>
    <row r="11" spans="2:19" ht="18" x14ac:dyDescent="0.25">
      <c r="B11" s="24" t="s">
        <v>56</v>
      </c>
      <c r="C11" s="93">
        <v>30</v>
      </c>
      <c r="E11" s="24" t="s">
        <v>47</v>
      </c>
      <c r="F11" s="30">
        <v>1</v>
      </c>
      <c r="G11" s="24"/>
    </row>
    <row r="12" spans="2:19" ht="18" x14ac:dyDescent="0.25">
      <c r="B12" s="24" t="s">
        <v>61</v>
      </c>
      <c r="C12" s="94" t="s">
        <v>58</v>
      </c>
      <c r="E12" s="24" t="s">
        <v>63</v>
      </c>
      <c r="F12" s="41">
        <v>9.5000000000000001E-2</v>
      </c>
      <c r="G12" s="24"/>
      <c r="I12" s="39" t="s">
        <v>67</v>
      </c>
    </row>
    <row r="13" spans="2:19" ht="18" x14ac:dyDescent="0.25">
      <c r="E13" s="24" t="s">
        <v>66</v>
      </c>
      <c r="F13" s="30" t="s">
        <v>67</v>
      </c>
      <c r="G13" s="24"/>
      <c r="I13" s="39" t="s">
        <v>68</v>
      </c>
    </row>
    <row r="14" spans="2:19" ht="15" thickBot="1" x14ac:dyDescent="0.25"/>
    <row r="15" spans="2:19" ht="18" x14ac:dyDescent="0.25">
      <c r="B15" s="133" t="s">
        <v>17</v>
      </c>
      <c r="C15" s="133"/>
      <c r="D15" s="133"/>
      <c r="E15" s="133"/>
      <c r="F15" s="26"/>
      <c r="G15" s="26"/>
      <c r="H15" s="26" t="s">
        <v>12</v>
      </c>
      <c r="I15" s="4" t="s">
        <v>18</v>
      </c>
      <c r="J15" s="19" t="s">
        <v>41</v>
      </c>
      <c r="K15" s="20" t="s">
        <v>42</v>
      </c>
      <c r="L15" s="5" t="s">
        <v>43</v>
      </c>
      <c r="M15" s="5" t="s">
        <v>48</v>
      </c>
      <c r="N15" s="5" t="s">
        <v>49</v>
      </c>
      <c r="O15" s="5" t="s">
        <v>50</v>
      </c>
      <c r="P15" s="5" t="s">
        <v>51</v>
      </c>
      <c r="Q15" s="5" t="s">
        <v>52</v>
      </c>
      <c r="R15" s="5" t="s">
        <v>53</v>
      </c>
      <c r="S15" s="5" t="s">
        <v>54</v>
      </c>
    </row>
    <row r="16" spans="2:19" s="8" customFormat="1" x14ac:dyDescent="0.2">
      <c r="B16" s="6" t="s">
        <v>19</v>
      </c>
      <c r="C16" s="63" t="s">
        <v>99</v>
      </c>
      <c r="D16" s="7" t="s">
        <v>20</v>
      </c>
      <c r="E16" s="6" t="s">
        <v>71</v>
      </c>
      <c r="F16" s="63" t="s">
        <v>72</v>
      </c>
      <c r="G16" s="63" t="s">
        <v>73</v>
      </c>
      <c r="H16" s="6"/>
      <c r="I16" s="67"/>
      <c r="J16" s="25">
        <v>1</v>
      </c>
      <c r="K16" s="25">
        <v>2</v>
      </c>
      <c r="L16" s="25">
        <v>3</v>
      </c>
      <c r="M16" s="25">
        <v>4</v>
      </c>
      <c r="N16" s="25">
        <v>5</v>
      </c>
      <c r="O16" s="25">
        <v>6</v>
      </c>
      <c r="P16" s="25">
        <v>7</v>
      </c>
      <c r="Q16" s="25">
        <v>8</v>
      </c>
      <c r="R16" s="25">
        <v>9</v>
      </c>
      <c r="S16" s="25">
        <v>10</v>
      </c>
    </row>
    <row r="17" spans="2:19" ht="42.75" x14ac:dyDescent="0.2">
      <c r="B17" s="80" t="s">
        <v>69</v>
      </c>
      <c r="C17" s="9">
        <v>250</v>
      </c>
      <c r="D17" s="10" t="s">
        <v>22</v>
      </c>
      <c r="E17" s="28" t="s">
        <v>0</v>
      </c>
      <c r="F17" s="62" t="s">
        <v>74</v>
      </c>
      <c r="G17" s="81" t="s">
        <v>75</v>
      </c>
      <c r="H17" s="80" t="s">
        <v>77</v>
      </c>
      <c r="I17" s="68"/>
      <c r="J17" s="48">
        <f>$F$11*C17</f>
        <v>250</v>
      </c>
      <c r="K17" s="48"/>
      <c r="L17" s="48"/>
      <c r="M17" s="48"/>
      <c r="N17" s="48"/>
      <c r="O17" s="48"/>
      <c r="P17" s="48"/>
      <c r="Q17" s="48"/>
      <c r="R17" s="48"/>
      <c r="S17" s="48"/>
    </row>
    <row r="18" spans="2:19" ht="42.75" x14ac:dyDescent="0.2">
      <c r="B18" s="80" t="s">
        <v>70</v>
      </c>
      <c r="C18" s="9">
        <v>350</v>
      </c>
      <c r="D18" s="10" t="s">
        <v>1</v>
      </c>
      <c r="E18" s="28" t="s">
        <v>0</v>
      </c>
      <c r="F18" s="62" t="s">
        <v>76</v>
      </c>
      <c r="G18" s="81" t="s">
        <v>75</v>
      </c>
      <c r="H18" s="80" t="s">
        <v>78</v>
      </c>
      <c r="I18" s="68"/>
      <c r="J18" s="48">
        <f>IF(J16&lt;=$F$10,$C$18,0)</f>
        <v>350</v>
      </c>
      <c r="K18" s="48">
        <f>IF(K16&lt;=$F$10,$C$18,0)</f>
        <v>350</v>
      </c>
      <c r="L18" s="48">
        <f t="shared" ref="L18:S18" si="0">IF(L16&lt;=$F$10,$C$18,0)</f>
        <v>350</v>
      </c>
      <c r="M18" s="48">
        <f t="shared" si="0"/>
        <v>350</v>
      </c>
      <c r="N18" s="48">
        <f t="shared" si="0"/>
        <v>350</v>
      </c>
      <c r="O18" s="48">
        <f t="shared" si="0"/>
        <v>0</v>
      </c>
      <c r="P18" s="48">
        <f t="shared" si="0"/>
        <v>0</v>
      </c>
      <c r="Q18" s="48">
        <f t="shared" si="0"/>
        <v>0</v>
      </c>
      <c r="R18" s="48">
        <f t="shared" si="0"/>
        <v>0</v>
      </c>
      <c r="S18" s="48">
        <f t="shared" si="0"/>
        <v>0</v>
      </c>
    </row>
    <row r="19" spans="2:19" ht="18" x14ac:dyDescent="0.25">
      <c r="B19" s="133" t="s">
        <v>23</v>
      </c>
      <c r="C19" s="133"/>
      <c r="D19" s="133"/>
      <c r="E19" s="133"/>
      <c r="F19" s="26"/>
      <c r="G19" s="26"/>
      <c r="H19" s="26"/>
      <c r="I19" s="6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2:19" s="8" customFormat="1" x14ac:dyDescent="0.2">
      <c r="B20" s="23" t="s">
        <v>19</v>
      </c>
      <c r="C20" s="63" t="s">
        <v>99</v>
      </c>
      <c r="D20" s="11" t="s">
        <v>20</v>
      </c>
      <c r="E20" s="6" t="s">
        <v>71</v>
      </c>
      <c r="F20" s="23"/>
      <c r="G20" s="23"/>
      <c r="H20" s="6"/>
      <c r="I20" s="7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2:19" ht="30" customHeight="1" x14ac:dyDescent="0.2">
      <c r="B21" s="82" t="s">
        <v>79</v>
      </c>
      <c r="C21" s="38">
        <v>200</v>
      </c>
      <c r="D21" s="42" t="s">
        <v>80</v>
      </c>
      <c r="E21" s="42" t="s">
        <v>81</v>
      </c>
      <c r="F21" s="83" t="s">
        <v>76</v>
      </c>
      <c r="G21" s="81" t="s">
        <v>82</v>
      </c>
      <c r="H21" s="82" t="s">
        <v>83</v>
      </c>
      <c r="I21" s="95"/>
      <c r="J21" s="96">
        <f>C21</f>
        <v>200</v>
      </c>
      <c r="K21" s="96"/>
      <c r="L21" s="96"/>
      <c r="M21" s="96"/>
      <c r="N21" s="96"/>
      <c r="O21" s="96"/>
      <c r="P21" s="96"/>
      <c r="Q21" s="96"/>
      <c r="R21" s="96"/>
      <c r="S21" s="96"/>
    </row>
    <row r="22" spans="2:19" ht="18" x14ac:dyDescent="0.25">
      <c r="B22" s="133" t="s">
        <v>24</v>
      </c>
      <c r="C22" s="133"/>
      <c r="D22" s="133"/>
      <c r="E22" s="133"/>
      <c r="F22" s="26"/>
      <c r="G22" s="26"/>
      <c r="H22" s="27"/>
      <c r="I22" s="7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2:19" s="14" customFormat="1" x14ac:dyDescent="0.2">
      <c r="B23" s="12" t="s">
        <v>19</v>
      </c>
      <c r="C23" s="63" t="s">
        <v>99</v>
      </c>
      <c r="D23" s="13" t="s">
        <v>20</v>
      </c>
      <c r="E23" s="12" t="s">
        <v>21</v>
      </c>
      <c r="F23" s="12"/>
      <c r="G23" s="12"/>
      <c r="H23" s="12"/>
      <c r="I23" s="7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2:19" ht="28.5" x14ac:dyDescent="0.2">
      <c r="B24" s="80" t="s">
        <v>2</v>
      </c>
      <c r="C24" s="9">
        <v>5</v>
      </c>
      <c r="D24" s="42" t="s">
        <v>3</v>
      </c>
      <c r="E24" s="83" t="s">
        <v>0</v>
      </c>
      <c r="F24" s="81" t="s">
        <v>84</v>
      </c>
      <c r="G24" s="81" t="s">
        <v>85</v>
      </c>
      <c r="H24" s="82" t="s">
        <v>86</v>
      </c>
    </row>
    <row r="25" spans="2:19" ht="28.5" x14ac:dyDescent="0.2">
      <c r="B25" s="80" t="s">
        <v>25</v>
      </c>
      <c r="C25" s="9" t="s">
        <v>26</v>
      </c>
      <c r="D25" s="42" t="s">
        <v>3</v>
      </c>
      <c r="E25" s="83" t="s">
        <v>0</v>
      </c>
      <c r="F25" s="83" t="s">
        <v>76</v>
      </c>
      <c r="G25" s="81" t="s">
        <v>87</v>
      </c>
      <c r="H25" s="82" t="s">
        <v>88</v>
      </c>
      <c r="I25" s="73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2:19" ht="28.5" x14ac:dyDescent="0.2">
      <c r="B26" s="80" t="s">
        <v>27</v>
      </c>
      <c r="C26" s="38">
        <v>3.2</v>
      </c>
      <c r="D26" s="42" t="s">
        <v>3</v>
      </c>
      <c r="E26" s="83" t="s">
        <v>0</v>
      </c>
      <c r="F26" s="81" t="s">
        <v>89</v>
      </c>
      <c r="G26" s="81" t="s">
        <v>90</v>
      </c>
      <c r="H26" s="82" t="s">
        <v>88</v>
      </c>
      <c r="I26" s="73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2:19" ht="28.5" x14ac:dyDescent="0.2">
      <c r="B27" s="80" t="s">
        <v>28</v>
      </c>
      <c r="C27" s="38">
        <v>8</v>
      </c>
      <c r="D27" s="42" t="s">
        <v>3</v>
      </c>
      <c r="E27" s="83" t="s">
        <v>0</v>
      </c>
      <c r="F27" s="81" t="s">
        <v>89</v>
      </c>
      <c r="G27" s="81" t="s">
        <v>91</v>
      </c>
      <c r="H27" s="82" t="s">
        <v>86</v>
      </c>
      <c r="I27" s="73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2:19" ht="28.5" x14ac:dyDescent="0.2">
      <c r="B28" s="80" t="s">
        <v>4</v>
      </c>
      <c r="C28" s="62" t="s">
        <v>5</v>
      </c>
      <c r="D28" s="42" t="s">
        <v>3</v>
      </c>
      <c r="E28" s="83" t="s">
        <v>93</v>
      </c>
      <c r="F28" s="81" t="s">
        <v>89</v>
      </c>
      <c r="G28" s="81" t="s">
        <v>92</v>
      </c>
      <c r="H28" s="82" t="s">
        <v>86</v>
      </c>
      <c r="I28" s="73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ht="18" x14ac:dyDescent="0.25">
      <c r="B29" s="133" t="s">
        <v>29</v>
      </c>
      <c r="C29" s="133"/>
      <c r="D29" s="133"/>
      <c r="E29" s="133"/>
      <c r="F29" s="26"/>
      <c r="G29" s="26"/>
      <c r="H29" s="15"/>
      <c r="I29" s="74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2:19" s="37" customFormat="1" ht="18.600000000000001" customHeight="1" x14ac:dyDescent="0.2">
      <c r="B30" s="36" t="s">
        <v>119</v>
      </c>
      <c r="C30" s="63" t="s">
        <v>99</v>
      </c>
      <c r="D30" s="61" t="s">
        <v>20</v>
      </c>
      <c r="E30" s="63" t="s">
        <v>71</v>
      </c>
      <c r="F30" s="63" t="s">
        <v>72</v>
      </c>
      <c r="G30" s="63"/>
      <c r="H30" s="63" t="s">
        <v>94</v>
      </c>
      <c r="I30" s="75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2:19" ht="28.5" x14ac:dyDescent="0.2">
      <c r="B31" s="29" t="s">
        <v>6</v>
      </c>
      <c r="C31" s="16">
        <v>1.4E-5</v>
      </c>
      <c r="D31" s="62" t="s">
        <v>95</v>
      </c>
      <c r="E31" s="81" t="s">
        <v>96</v>
      </c>
      <c r="F31" s="62" t="s">
        <v>76</v>
      </c>
      <c r="G31" s="81" t="s">
        <v>97</v>
      </c>
      <c r="H31" s="80" t="s">
        <v>98</v>
      </c>
      <c r="I31" s="76">
        <f>IF($C$10&lt;=40000000,$C$10,0)</f>
        <v>0</v>
      </c>
      <c r="J31" s="48">
        <f t="shared" ref="J31:S31" si="1">IF(J16&lt;=$F$10,$I$31*$C$31*12,0)</f>
        <v>0</v>
      </c>
      <c r="K31" s="48">
        <f t="shared" si="1"/>
        <v>0</v>
      </c>
      <c r="L31" s="48">
        <f t="shared" si="1"/>
        <v>0</v>
      </c>
      <c r="M31" s="48">
        <f t="shared" si="1"/>
        <v>0</v>
      </c>
      <c r="N31" s="48">
        <f t="shared" si="1"/>
        <v>0</v>
      </c>
      <c r="O31" s="48">
        <f t="shared" si="1"/>
        <v>0</v>
      </c>
      <c r="P31" s="48">
        <f t="shared" si="1"/>
        <v>0</v>
      </c>
      <c r="Q31" s="48">
        <f t="shared" si="1"/>
        <v>0</v>
      </c>
      <c r="R31" s="48">
        <f t="shared" si="1"/>
        <v>0</v>
      </c>
      <c r="S31" s="48">
        <f t="shared" si="1"/>
        <v>0</v>
      </c>
    </row>
    <row r="32" spans="2:19" ht="28.5" x14ac:dyDescent="0.2">
      <c r="B32" s="29" t="s">
        <v>30</v>
      </c>
      <c r="C32" s="16">
        <v>1.0000000000000001E-5</v>
      </c>
      <c r="D32" s="62" t="s">
        <v>95</v>
      </c>
      <c r="E32" s="81" t="s">
        <v>96</v>
      </c>
      <c r="F32" s="62" t="s">
        <v>76</v>
      </c>
      <c r="G32" s="81" t="s">
        <v>97</v>
      </c>
      <c r="H32" s="80" t="s">
        <v>98</v>
      </c>
      <c r="I32" s="76">
        <f>IF(AND($C$10&gt;=40000000.01, $C$10&lt;=100000000),$C$10,0)</f>
        <v>0</v>
      </c>
      <c r="J32" s="48">
        <f t="shared" ref="J32:S32" si="2">IF(J16&lt;=$F$10,$I$32*$C$32*12,0)</f>
        <v>0</v>
      </c>
      <c r="K32" s="48">
        <f t="shared" si="2"/>
        <v>0</v>
      </c>
      <c r="L32" s="48">
        <f t="shared" si="2"/>
        <v>0</v>
      </c>
      <c r="M32" s="48">
        <f t="shared" si="2"/>
        <v>0</v>
      </c>
      <c r="N32" s="48">
        <f t="shared" si="2"/>
        <v>0</v>
      </c>
      <c r="O32" s="48">
        <f t="shared" si="2"/>
        <v>0</v>
      </c>
      <c r="P32" s="48">
        <f t="shared" si="2"/>
        <v>0</v>
      </c>
      <c r="Q32" s="48">
        <f t="shared" si="2"/>
        <v>0</v>
      </c>
      <c r="R32" s="48">
        <f t="shared" si="2"/>
        <v>0</v>
      </c>
      <c r="S32" s="48">
        <f t="shared" si="2"/>
        <v>0</v>
      </c>
    </row>
    <row r="33" spans="2:19" ht="28.5" x14ac:dyDescent="0.2">
      <c r="B33" s="29" t="s">
        <v>31</v>
      </c>
      <c r="C33" s="16">
        <v>5.0000000000000004E-6</v>
      </c>
      <c r="D33" s="62" t="s">
        <v>95</v>
      </c>
      <c r="E33" s="81" t="s">
        <v>96</v>
      </c>
      <c r="F33" s="62" t="s">
        <v>76</v>
      </c>
      <c r="G33" s="81" t="s">
        <v>97</v>
      </c>
      <c r="H33" s="80" t="s">
        <v>98</v>
      </c>
      <c r="I33" s="76">
        <f>IF(AND($C$10&gt;=100000000.01),$C$10,0)</f>
        <v>600000000</v>
      </c>
      <c r="J33" s="48">
        <f t="shared" ref="J33:S33" si="3">IF(J16&lt;=$F$10,$I$33*$C$33*12,0)</f>
        <v>36000.000000000007</v>
      </c>
      <c r="K33" s="48">
        <f t="shared" si="3"/>
        <v>36000.000000000007</v>
      </c>
      <c r="L33" s="48">
        <f t="shared" si="3"/>
        <v>36000.000000000007</v>
      </c>
      <c r="M33" s="48">
        <f t="shared" si="3"/>
        <v>36000.000000000007</v>
      </c>
      <c r="N33" s="48">
        <f t="shared" si="3"/>
        <v>36000.000000000007</v>
      </c>
      <c r="O33" s="48">
        <f t="shared" si="3"/>
        <v>0</v>
      </c>
      <c r="P33" s="48">
        <f t="shared" si="3"/>
        <v>0</v>
      </c>
      <c r="Q33" s="48">
        <f t="shared" si="3"/>
        <v>0</v>
      </c>
      <c r="R33" s="48">
        <f t="shared" si="3"/>
        <v>0</v>
      </c>
      <c r="S33" s="48">
        <f t="shared" si="3"/>
        <v>0</v>
      </c>
    </row>
    <row r="34" spans="2:19" ht="18" x14ac:dyDescent="0.25">
      <c r="B34" s="133" t="s">
        <v>32</v>
      </c>
      <c r="C34" s="133"/>
      <c r="D34" s="133"/>
      <c r="E34" s="133"/>
      <c r="F34" s="26"/>
      <c r="G34" s="26"/>
      <c r="H34" s="15"/>
      <c r="I34" s="74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x14ac:dyDescent="0.2">
      <c r="B35" s="61" t="s">
        <v>16</v>
      </c>
      <c r="C35" s="63" t="s">
        <v>99</v>
      </c>
      <c r="D35" s="61" t="s">
        <v>20</v>
      </c>
      <c r="E35" s="63" t="s">
        <v>71</v>
      </c>
      <c r="F35" s="63" t="s">
        <v>72</v>
      </c>
      <c r="G35" s="63"/>
      <c r="H35" s="63" t="s">
        <v>94</v>
      </c>
      <c r="I35" s="77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2:19" s="17" customFormat="1" ht="30.6" customHeight="1" x14ac:dyDescent="0.2">
      <c r="B36" s="84" t="s">
        <v>33</v>
      </c>
      <c r="C36" s="85">
        <v>6.4999999999999994E-5</v>
      </c>
      <c r="D36" s="66" t="s">
        <v>3</v>
      </c>
      <c r="E36" s="81" t="s">
        <v>100</v>
      </c>
      <c r="F36" s="62" t="s">
        <v>76</v>
      </c>
      <c r="G36" s="81" t="s">
        <v>101</v>
      </c>
      <c r="H36" s="86" t="s">
        <v>102</v>
      </c>
      <c r="I36" s="76">
        <f>C10</f>
        <v>600000000</v>
      </c>
      <c r="J36" s="48">
        <f>IF(J16&lt;=$F$10,IF($C$36*$C$10&lt;=600,$C$10*$C$36,600),0)</f>
        <v>600</v>
      </c>
      <c r="K36" s="48"/>
      <c r="L36" s="48"/>
      <c r="M36" s="48"/>
      <c r="N36" s="48"/>
      <c r="O36" s="48"/>
      <c r="P36" s="48"/>
      <c r="Q36" s="48"/>
      <c r="R36" s="48"/>
      <c r="S36" s="48"/>
    </row>
    <row r="37" spans="2:19" ht="28.5" hidden="1" x14ac:dyDescent="0.2">
      <c r="B37" s="32" t="s">
        <v>34</v>
      </c>
      <c r="C37" s="33">
        <v>5.0000000000000004E-6</v>
      </c>
      <c r="D37" s="134" t="s">
        <v>7</v>
      </c>
      <c r="E37" s="134"/>
      <c r="F37" s="35"/>
      <c r="G37" s="35"/>
      <c r="H37" s="34" t="s">
        <v>35</v>
      </c>
      <c r="I37" s="78">
        <v>0</v>
      </c>
      <c r="J37" s="53">
        <f t="shared" ref="J37:S37" si="4">IF(J16&lt;=$F$10,$I$37*$C$37*12,0)</f>
        <v>0</v>
      </c>
      <c r="K37" s="53">
        <f t="shared" si="4"/>
        <v>0</v>
      </c>
      <c r="L37" s="53">
        <f t="shared" si="4"/>
        <v>0</v>
      </c>
      <c r="M37" s="53">
        <f t="shared" si="4"/>
        <v>0</v>
      </c>
      <c r="N37" s="53">
        <f t="shared" si="4"/>
        <v>0</v>
      </c>
      <c r="O37" s="53">
        <f t="shared" si="4"/>
        <v>0</v>
      </c>
      <c r="P37" s="53">
        <f t="shared" si="4"/>
        <v>0</v>
      </c>
      <c r="Q37" s="53">
        <f t="shared" si="4"/>
        <v>0</v>
      </c>
      <c r="R37" s="53">
        <f t="shared" si="4"/>
        <v>0</v>
      </c>
      <c r="S37" s="53">
        <f t="shared" si="4"/>
        <v>0</v>
      </c>
    </row>
    <row r="38" spans="2:19" ht="18" x14ac:dyDescent="0.25">
      <c r="B38" s="133" t="s">
        <v>36</v>
      </c>
      <c r="C38" s="133"/>
      <c r="D38" s="133"/>
      <c r="E38" s="133"/>
      <c r="F38" s="26"/>
      <c r="G38" s="26"/>
      <c r="H38" s="15"/>
      <c r="I38" s="74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2:19" x14ac:dyDescent="0.2">
      <c r="B39" s="23" t="s">
        <v>16</v>
      </c>
      <c r="C39" s="63" t="s">
        <v>99</v>
      </c>
      <c r="D39" s="61" t="s">
        <v>20</v>
      </c>
      <c r="E39" s="63" t="s">
        <v>71</v>
      </c>
      <c r="F39" s="63" t="s">
        <v>72</v>
      </c>
      <c r="G39" s="63"/>
      <c r="H39" s="63" t="s">
        <v>94</v>
      </c>
      <c r="I39" s="77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2:19" s="17" customFormat="1" ht="28.5" x14ac:dyDescent="0.2">
      <c r="B40" s="29" t="s">
        <v>8</v>
      </c>
      <c r="C40" s="18">
        <v>5.0000000000000004E-6</v>
      </c>
      <c r="D40" s="87" t="s">
        <v>37</v>
      </c>
      <c r="E40" s="81" t="s">
        <v>103</v>
      </c>
      <c r="F40" s="81" t="s">
        <v>84</v>
      </c>
      <c r="G40" s="81" t="s">
        <v>87</v>
      </c>
      <c r="H40" s="82" t="s">
        <v>104</v>
      </c>
      <c r="I40" s="79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2:19" s="17" customFormat="1" ht="28.5" x14ac:dyDescent="0.2">
      <c r="B41" s="29" t="s">
        <v>9</v>
      </c>
      <c r="C41" s="18">
        <v>1.0000000000000001E-5</v>
      </c>
      <c r="D41" s="87" t="s">
        <v>37</v>
      </c>
      <c r="E41" s="81" t="s">
        <v>103</v>
      </c>
      <c r="F41" s="81" t="s">
        <v>84</v>
      </c>
      <c r="G41" s="81" t="s">
        <v>87</v>
      </c>
      <c r="H41" s="82" t="s">
        <v>104</v>
      </c>
      <c r="I41" s="79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2:19" s="17" customFormat="1" ht="28.5" x14ac:dyDescent="0.2">
      <c r="B42" s="29" t="s">
        <v>10</v>
      </c>
      <c r="C42" s="18">
        <v>5.0000000000000004E-6</v>
      </c>
      <c r="D42" s="87" t="s">
        <v>37</v>
      </c>
      <c r="E42" s="81" t="s">
        <v>103</v>
      </c>
      <c r="F42" s="81" t="s">
        <v>84</v>
      </c>
      <c r="G42" s="81" t="s">
        <v>87</v>
      </c>
      <c r="H42" s="82" t="s">
        <v>104</v>
      </c>
      <c r="I42" s="79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2:19" s="17" customFormat="1" ht="28.5" x14ac:dyDescent="0.2">
      <c r="B43" s="29" t="s">
        <v>11</v>
      </c>
      <c r="C43" s="18">
        <v>1.0000000000000001E-5</v>
      </c>
      <c r="D43" s="87" t="s">
        <v>37</v>
      </c>
      <c r="E43" s="81" t="s">
        <v>103</v>
      </c>
      <c r="F43" s="81" t="s">
        <v>84</v>
      </c>
      <c r="G43" s="81" t="s">
        <v>87</v>
      </c>
      <c r="H43" s="82" t="s">
        <v>104</v>
      </c>
      <c r="I43" s="79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2:19" ht="18" x14ac:dyDescent="0.25">
      <c r="B44" s="133" t="s">
        <v>38</v>
      </c>
      <c r="C44" s="133"/>
      <c r="D44" s="133"/>
      <c r="E44" s="133"/>
      <c r="F44" s="26"/>
      <c r="G44" s="26"/>
      <c r="H44" s="15"/>
      <c r="I44" s="74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2:19" x14ac:dyDescent="0.2">
      <c r="B45" s="61" t="s">
        <v>19</v>
      </c>
      <c r="C45" s="63" t="s">
        <v>99</v>
      </c>
      <c r="D45" s="64" t="s">
        <v>20</v>
      </c>
      <c r="E45" s="63" t="s">
        <v>71</v>
      </c>
      <c r="F45" s="63" t="s">
        <v>72</v>
      </c>
      <c r="G45" s="63"/>
      <c r="H45" s="63" t="s">
        <v>94</v>
      </c>
      <c r="I45" s="74"/>
      <c r="J45" s="55"/>
      <c r="K45" s="55"/>
      <c r="L45" s="55"/>
      <c r="M45" s="55"/>
      <c r="N45" s="55"/>
      <c r="O45" s="55"/>
      <c r="P45" s="55"/>
      <c r="Q45" s="55"/>
      <c r="R45" s="55"/>
      <c r="S45" s="55"/>
    </row>
    <row r="46" spans="2:19" ht="42.75" x14ac:dyDescent="0.2">
      <c r="B46" s="88" t="s">
        <v>105</v>
      </c>
      <c r="C46" s="65">
        <v>1E-4</v>
      </c>
      <c r="D46" s="66" t="s">
        <v>106</v>
      </c>
      <c r="E46" s="66" t="s">
        <v>107</v>
      </c>
      <c r="F46" s="62" t="s">
        <v>76</v>
      </c>
      <c r="G46" s="81" t="s">
        <v>97</v>
      </c>
      <c r="H46" s="89" t="s">
        <v>108</v>
      </c>
      <c r="I46" s="76">
        <f>C10</f>
        <v>600000000</v>
      </c>
      <c r="J46" s="48">
        <f>IF($F$10=J16,$C$46*$C$10,0)</f>
        <v>0</v>
      </c>
      <c r="K46" s="48">
        <f t="shared" ref="K46:S46" si="5">IF($F$10=K16,$C$46*$C$10,0)</f>
        <v>0</v>
      </c>
      <c r="L46" s="48">
        <f t="shared" si="5"/>
        <v>0</v>
      </c>
      <c r="M46" s="48">
        <f t="shared" si="5"/>
        <v>0</v>
      </c>
      <c r="N46" s="48">
        <f t="shared" si="5"/>
        <v>60000</v>
      </c>
      <c r="O46" s="48">
        <f t="shared" si="5"/>
        <v>0</v>
      </c>
      <c r="P46" s="48">
        <f t="shared" si="5"/>
        <v>0</v>
      </c>
      <c r="Q46" s="48">
        <f t="shared" si="5"/>
        <v>0</v>
      </c>
      <c r="R46" s="48">
        <f t="shared" si="5"/>
        <v>0</v>
      </c>
      <c r="S46" s="48">
        <f t="shared" si="5"/>
        <v>0</v>
      </c>
    </row>
    <row r="47" spans="2:19" ht="28.5" x14ac:dyDescent="0.2">
      <c r="B47" s="88" t="s">
        <v>109</v>
      </c>
      <c r="C47" s="65">
        <v>4.8000000000000001E-4</v>
      </c>
      <c r="D47" s="66" t="s">
        <v>110</v>
      </c>
      <c r="E47" s="66" t="s">
        <v>111</v>
      </c>
      <c r="F47" s="62" t="s">
        <v>76</v>
      </c>
      <c r="G47" s="81" t="s">
        <v>97</v>
      </c>
      <c r="H47" s="89" t="s">
        <v>112</v>
      </c>
      <c r="I47" s="76">
        <f>$I$46*F12</f>
        <v>57000000</v>
      </c>
      <c r="J47" s="48">
        <f t="shared" ref="J47:S47" si="6">IF(J16&lt;=$F$10,$I$47*$C$47,0)</f>
        <v>27360</v>
      </c>
      <c r="K47" s="48">
        <f t="shared" si="6"/>
        <v>27360</v>
      </c>
      <c r="L47" s="48">
        <f t="shared" si="6"/>
        <v>27360</v>
      </c>
      <c r="M47" s="48">
        <f t="shared" si="6"/>
        <v>27360</v>
      </c>
      <c r="N47" s="48">
        <f t="shared" si="6"/>
        <v>27360</v>
      </c>
      <c r="O47" s="48">
        <f t="shared" si="6"/>
        <v>0</v>
      </c>
      <c r="P47" s="48">
        <f t="shared" si="6"/>
        <v>0</v>
      </c>
      <c r="Q47" s="48">
        <f t="shared" si="6"/>
        <v>0</v>
      </c>
      <c r="R47" s="48">
        <f t="shared" si="6"/>
        <v>0</v>
      </c>
      <c r="S47" s="48">
        <f t="shared" si="6"/>
        <v>0</v>
      </c>
    </row>
    <row r="48" spans="2:19" ht="28.5" x14ac:dyDescent="0.2">
      <c r="B48" s="90" t="s">
        <v>113</v>
      </c>
      <c r="C48" s="9">
        <v>3.2</v>
      </c>
      <c r="D48" s="42" t="s">
        <v>114</v>
      </c>
      <c r="E48" s="66" t="s">
        <v>0</v>
      </c>
      <c r="F48" s="62" t="s">
        <v>76</v>
      </c>
      <c r="G48" s="62" t="s">
        <v>115</v>
      </c>
      <c r="H48" s="89" t="s">
        <v>116</v>
      </c>
      <c r="I48" s="73"/>
      <c r="J48" s="54">
        <f t="shared" ref="J48:S48" si="7">IF(J16&lt;=$F$10,IF($C$12="Semestral", $C$48*$C$11*2,$C$48*$C$11*4),0)</f>
        <v>384</v>
      </c>
      <c r="K48" s="54">
        <f t="shared" si="7"/>
        <v>384</v>
      </c>
      <c r="L48" s="54">
        <f t="shared" si="7"/>
        <v>384</v>
      </c>
      <c r="M48" s="54">
        <f t="shared" si="7"/>
        <v>384</v>
      </c>
      <c r="N48" s="54">
        <f t="shared" si="7"/>
        <v>384</v>
      </c>
      <c r="O48" s="54">
        <f t="shared" si="7"/>
        <v>0</v>
      </c>
      <c r="P48" s="54">
        <f t="shared" si="7"/>
        <v>0</v>
      </c>
      <c r="Q48" s="54">
        <f t="shared" si="7"/>
        <v>0</v>
      </c>
      <c r="R48" s="54">
        <f t="shared" si="7"/>
        <v>0</v>
      </c>
      <c r="S48" s="54">
        <f t="shared" si="7"/>
        <v>0</v>
      </c>
    </row>
    <row r="49" spans="2:19" x14ac:dyDescent="0.2">
      <c r="B49" s="43"/>
      <c r="C49" s="44"/>
      <c r="D49" s="45"/>
      <c r="E49" s="45"/>
      <c r="F49" s="45"/>
      <c r="G49" s="45"/>
      <c r="H49" s="46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2:19" ht="3.6" customHeight="1" x14ac:dyDescent="0.2"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</row>
    <row r="51" spans="2:19" x14ac:dyDescent="0.2">
      <c r="B51" s="91" t="s">
        <v>118</v>
      </c>
      <c r="I51" s="59" t="s">
        <v>65</v>
      </c>
      <c r="J51" s="60">
        <f>J36+J21+J18+J17</f>
        <v>1400</v>
      </c>
      <c r="K51" s="60">
        <f t="shared" ref="K51:S51" si="8">K36+K21+K18+K17</f>
        <v>350</v>
      </c>
      <c r="L51" s="60">
        <f t="shared" si="8"/>
        <v>350</v>
      </c>
      <c r="M51" s="60">
        <f t="shared" si="8"/>
        <v>350</v>
      </c>
      <c r="N51" s="60">
        <f t="shared" si="8"/>
        <v>350</v>
      </c>
      <c r="O51" s="60">
        <f t="shared" si="8"/>
        <v>0</v>
      </c>
      <c r="P51" s="60">
        <f t="shared" si="8"/>
        <v>0</v>
      </c>
      <c r="Q51" s="60">
        <f t="shared" si="8"/>
        <v>0</v>
      </c>
      <c r="R51" s="60">
        <f t="shared" si="8"/>
        <v>0</v>
      </c>
      <c r="S51" s="60">
        <f t="shared" si="8"/>
        <v>0</v>
      </c>
    </row>
    <row r="52" spans="2:19" x14ac:dyDescent="0.2">
      <c r="I52" s="58" t="s">
        <v>64</v>
      </c>
      <c r="J52" s="48">
        <f>+J33+J47+J46+J48</f>
        <v>63744.000000000007</v>
      </c>
      <c r="K52" s="48">
        <f t="shared" ref="K52:S52" si="9">+K33+K47+K46+K48</f>
        <v>63744.000000000007</v>
      </c>
      <c r="L52" s="48">
        <f t="shared" si="9"/>
        <v>63744.000000000007</v>
      </c>
      <c r="M52" s="48">
        <f t="shared" si="9"/>
        <v>63744.000000000007</v>
      </c>
      <c r="N52" s="48">
        <f t="shared" si="9"/>
        <v>123744</v>
      </c>
      <c r="O52" s="48">
        <f t="shared" si="9"/>
        <v>0</v>
      </c>
      <c r="P52" s="48">
        <f t="shared" si="9"/>
        <v>0</v>
      </c>
      <c r="Q52" s="48">
        <f t="shared" si="9"/>
        <v>0</v>
      </c>
      <c r="R52" s="48">
        <f t="shared" si="9"/>
        <v>0</v>
      </c>
      <c r="S52" s="48">
        <f t="shared" si="9"/>
        <v>0</v>
      </c>
    </row>
    <row r="53" spans="2:19" x14ac:dyDescent="0.2">
      <c r="B53" s="22" t="s">
        <v>45</v>
      </c>
      <c r="I53" s="14"/>
      <c r="J53" s="21"/>
    </row>
    <row r="54" spans="2:19" x14ac:dyDescent="0.2">
      <c r="B54" s="2" t="s">
        <v>59</v>
      </c>
    </row>
    <row r="55" spans="2:19" x14ac:dyDescent="0.2">
      <c r="B55" s="2" t="s">
        <v>39</v>
      </c>
    </row>
    <row r="56" spans="2:19" x14ac:dyDescent="0.2">
      <c r="B56" s="2" t="s">
        <v>40</v>
      </c>
    </row>
    <row r="57" spans="2:19" x14ac:dyDescent="0.2">
      <c r="B57" s="2" t="s">
        <v>46</v>
      </c>
    </row>
    <row r="58" spans="2:19" x14ac:dyDescent="0.2">
      <c r="B58" s="2" t="s">
        <v>60</v>
      </c>
    </row>
    <row r="59" spans="2:19" ht="13.15" customHeight="1" x14ac:dyDescent="0.2">
      <c r="B59" s="2" t="s">
        <v>117</v>
      </c>
    </row>
  </sheetData>
  <sheetProtection selectLockedCells="1"/>
  <mergeCells count="9">
    <mergeCell ref="B44:E44"/>
    <mergeCell ref="D37:E37"/>
    <mergeCell ref="B38:E38"/>
    <mergeCell ref="B8:H8"/>
    <mergeCell ref="B15:E15"/>
    <mergeCell ref="B19:E19"/>
    <mergeCell ref="B22:E22"/>
    <mergeCell ref="B29:E29"/>
    <mergeCell ref="B34:E34"/>
  </mergeCells>
  <phoneticPr fontId="17" type="noConversion"/>
  <dataValidations count="1">
    <dataValidation type="list" allowBlank="1" showInputMessage="1" showErrorMessage="1" sqref="F13" xr:uid="{419A7F5A-E911-4E8D-A65A-9BDDDCA9B115}">
      <formula1>$I$12:$I$13</formula1>
    </dataValidation>
  </dataValidations>
  <printOptions horizontalCentered="1"/>
  <pageMargins left="0.23622047244094491" right="0.23622047244094491" top="0.2" bottom="0.15748031496062992" header="0.24" footer="0.17"/>
  <pageSetup scale="2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1850A3-7440-4A73-B4C1-3A6EC5A383A0}">
          <x14:formula1>
            <xm:f>Hoja2!$A$1:$A$2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3B3F-3AA8-4168-AEA7-62087605D80C}">
  <sheetPr>
    <tabColor rgb="FF002060"/>
    <pageSetUpPr fitToPage="1"/>
  </sheetPr>
  <dimension ref="A1:V29"/>
  <sheetViews>
    <sheetView showGridLines="0" showRowColHeaders="0" tabSelected="1" zoomScale="73" zoomScaleNormal="73" workbookViewId="0">
      <selection activeCell="C6" sqref="C6"/>
    </sheetView>
  </sheetViews>
  <sheetFormatPr baseColWidth="10" defaultColWidth="0" defaultRowHeight="17.25" zeroHeight="1" x14ac:dyDescent="0.3"/>
  <cols>
    <col min="1" max="1" width="4.5703125" style="98" customWidth="1"/>
    <col min="2" max="2" width="39" style="98" customWidth="1"/>
    <col min="3" max="3" width="20.5703125" style="98" bestFit="1" customWidth="1"/>
    <col min="4" max="4" width="7.85546875" style="98" bestFit="1" customWidth="1"/>
    <col min="5" max="5" width="6.42578125" style="98" customWidth="1"/>
    <col min="6" max="6" width="7.7109375" style="99" bestFit="1" customWidth="1"/>
    <col min="7" max="7" width="50.85546875" style="99" bestFit="1" customWidth="1"/>
    <col min="8" max="8" width="13.140625" style="99" customWidth="1"/>
    <col min="9" max="9" width="20.28515625" style="100" bestFit="1" customWidth="1"/>
    <col min="10" max="10" width="20.140625" style="99" bestFit="1" customWidth="1"/>
    <col min="11" max="11" width="20.28515625" style="99" bestFit="1" customWidth="1"/>
    <col min="12" max="15" width="17.28515625" style="99" bestFit="1" customWidth="1"/>
    <col min="16" max="20" width="16.7109375" style="98" customWidth="1"/>
    <col min="21" max="21" width="18.7109375" style="116" bestFit="1" customWidth="1"/>
    <col min="22" max="22" width="3.85546875" style="98" customWidth="1"/>
    <col min="23" max="16384" width="11.42578125" style="98" hidden="1"/>
  </cols>
  <sheetData>
    <row r="1" spans="1:21" x14ac:dyDescent="0.3"/>
    <row r="2" spans="1:21" ht="26.25" x14ac:dyDescent="0.45">
      <c r="B2" s="136" t="s">
        <v>157</v>
      </c>
      <c r="C2" s="136"/>
      <c r="D2" s="136"/>
      <c r="F2" s="136" t="s">
        <v>158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4" spans="1:21" x14ac:dyDescent="0.3"/>
    <row r="5" spans="1:21" hidden="1" x14ac:dyDescent="0.3">
      <c r="B5" s="101" t="s">
        <v>152</v>
      </c>
      <c r="C5" s="102" t="s">
        <v>153</v>
      </c>
      <c r="D5" s="102" t="s">
        <v>154</v>
      </c>
      <c r="K5" s="99">
        <v>1</v>
      </c>
      <c r="L5" s="99">
        <v>2</v>
      </c>
      <c r="M5" s="99">
        <v>3</v>
      </c>
      <c r="N5" s="99">
        <v>4</v>
      </c>
      <c r="O5" s="99">
        <v>5</v>
      </c>
      <c r="P5" s="98">
        <v>6</v>
      </c>
      <c r="Q5" s="98">
        <v>7</v>
      </c>
      <c r="R5" s="98">
        <v>8</v>
      </c>
      <c r="S5" s="98">
        <v>9</v>
      </c>
      <c r="T5" s="98">
        <v>10</v>
      </c>
    </row>
    <row r="6" spans="1:21" x14ac:dyDescent="0.3">
      <c r="A6" s="104"/>
      <c r="B6" s="121" t="s">
        <v>120</v>
      </c>
      <c r="C6" s="123">
        <v>50000000</v>
      </c>
      <c r="D6" s="112"/>
      <c r="E6" s="104"/>
      <c r="F6" s="105" t="s">
        <v>123</v>
      </c>
      <c r="G6" s="105" t="s">
        <v>124</v>
      </c>
      <c r="H6" s="105" t="s">
        <v>125</v>
      </c>
      <c r="I6" s="105" t="s">
        <v>126</v>
      </c>
      <c r="J6" s="105" t="s">
        <v>127</v>
      </c>
      <c r="K6" s="105" t="s">
        <v>128</v>
      </c>
      <c r="L6" s="105" t="s">
        <v>129</v>
      </c>
      <c r="M6" s="105" t="s">
        <v>130</v>
      </c>
      <c r="N6" s="105" t="s">
        <v>131</v>
      </c>
      <c r="O6" s="105" t="s">
        <v>132</v>
      </c>
      <c r="P6" s="105" t="s">
        <v>146</v>
      </c>
      <c r="Q6" s="105" t="s">
        <v>147</v>
      </c>
      <c r="R6" s="105" t="s">
        <v>148</v>
      </c>
      <c r="S6" s="105" t="s">
        <v>149</v>
      </c>
      <c r="T6" s="105" t="s">
        <v>150</v>
      </c>
      <c r="U6" s="117" t="s">
        <v>133</v>
      </c>
    </row>
    <row r="7" spans="1:21" x14ac:dyDescent="0.3">
      <c r="A7" s="97"/>
      <c r="B7" s="121" t="s">
        <v>121</v>
      </c>
      <c r="C7" s="124">
        <v>10</v>
      </c>
      <c r="D7" s="103"/>
      <c r="E7" s="97"/>
      <c r="F7" s="106">
        <v>1</v>
      </c>
      <c r="G7" s="99" t="s">
        <v>134</v>
      </c>
      <c r="H7" s="107">
        <v>150</v>
      </c>
      <c r="I7" s="108"/>
      <c r="J7" s="119">
        <f>IF(C12="LEMPIRAS",Tabla3610[[#This Row],[TARIFA]]*C9,Tabla3610[[#This Row],[TARIFA]])</f>
        <v>3946.5750000000003</v>
      </c>
      <c r="K7" s="120"/>
      <c r="L7" s="120"/>
      <c r="M7" s="120"/>
      <c r="N7" s="120"/>
      <c r="O7" s="120"/>
      <c r="P7" s="120"/>
      <c r="Q7" s="118"/>
      <c r="R7" s="118"/>
      <c r="S7" s="118"/>
      <c r="T7" s="118"/>
      <c r="U7" s="118">
        <f>SUM(Tabla3610[[#This Row],[ÚNICO]:[AÑO 10]])</f>
        <v>3946.5750000000003</v>
      </c>
    </row>
    <row r="8" spans="1:21" x14ac:dyDescent="0.3">
      <c r="A8" s="97"/>
      <c r="B8" s="121" t="s">
        <v>122</v>
      </c>
      <c r="C8" s="124">
        <v>5</v>
      </c>
      <c r="D8" s="121" t="s">
        <v>151</v>
      </c>
      <c r="E8" s="97"/>
      <c r="F8" s="106">
        <v>2</v>
      </c>
      <c r="G8" s="99" t="s">
        <v>136</v>
      </c>
      <c r="H8" s="107">
        <v>500</v>
      </c>
      <c r="I8" s="108"/>
      <c r="J8" s="119">
        <f>IF(C12="LEMPIRAS",Tabla3610[[#This Row],[TARIFA]]*C9,Tabla3610[[#This Row],[TARIFA]])</f>
        <v>13155.25</v>
      </c>
      <c r="K8" s="120"/>
      <c r="L8" s="120"/>
      <c r="M8" s="120"/>
      <c r="N8" s="120"/>
      <c r="O8" s="120"/>
      <c r="P8" s="120"/>
      <c r="Q8" s="118"/>
      <c r="R8" s="118"/>
      <c r="S8" s="118"/>
      <c r="T8" s="118"/>
      <c r="U8" s="118">
        <f>SUM(Tabla3610[[#This Row],[ÚNICO]:[AÑO 10]])</f>
        <v>13155.25</v>
      </c>
    </row>
    <row r="9" spans="1:21" x14ac:dyDescent="0.3">
      <c r="A9" s="97"/>
      <c r="B9" s="121" t="s">
        <v>135</v>
      </c>
      <c r="C9" s="125">
        <v>26.310500000000001</v>
      </c>
      <c r="D9" s="113"/>
      <c r="E9" s="97"/>
      <c r="F9" s="106">
        <v>3</v>
      </c>
      <c r="G9" s="99" t="s">
        <v>137</v>
      </c>
      <c r="H9" s="107">
        <v>500</v>
      </c>
      <c r="I9" s="108"/>
      <c r="J9" s="119">
        <f>IF(C12="LEMPIRAS",Tabla3610[[#This Row],[TARIFA]]*C7*C9,Tabla3610[[#This Row],[TARIFA]]*C7)</f>
        <v>131552.5</v>
      </c>
      <c r="K9" s="120"/>
      <c r="L9" s="120"/>
      <c r="M9" s="120"/>
      <c r="N9" s="120"/>
      <c r="O9" s="120"/>
      <c r="P9" s="120"/>
      <c r="Q9" s="118"/>
      <c r="R9" s="118"/>
      <c r="S9" s="118"/>
      <c r="T9" s="118"/>
      <c r="U9" s="118">
        <f>SUM(Tabla3610[[#This Row],[ÚNICO]:[AÑO 10]])</f>
        <v>131552.5</v>
      </c>
    </row>
    <row r="10" spans="1:21" x14ac:dyDescent="0.3">
      <c r="A10" s="97"/>
      <c r="B10" s="121" t="s">
        <v>141</v>
      </c>
      <c r="C10" s="123">
        <f>IF(C12="LEMPIRAS",ROUNDUP((C6/C7)*C9,-3),C6/C7)</f>
        <v>131553000</v>
      </c>
      <c r="D10" s="112"/>
      <c r="E10" s="97"/>
      <c r="F10" s="106">
        <v>4</v>
      </c>
      <c r="G10" s="99" t="s">
        <v>143</v>
      </c>
      <c r="H10" s="109">
        <v>6.4999999999999994E-5</v>
      </c>
      <c r="I10" s="108">
        <f>C10*C7</f>
        <v>1315530000</v>
      </c>
      <c r="J10" s="119">
        <f>Tabla3610[[#This Row],[TARIFA]]*Tabla3610[[#This Row],[BASE CÁLCULO]]</f>
        <v>85509.45</v>
      </c>
      <c r="K10" s="120"/>
      <c r="L10" s="120"/>
      <c r="M10" s="120"/>
      <c r="N10" s="120"/>
      <c r="O10" s="120"/>
      <c r="P10" s="120"/>
      <c r="Q10" s="118"/>
      <c r="R10" s="118"/>
      <c r="S10" s="118"/>
      <c r="T10" s="118"/>
      <c r="U10" s="118">
        <f>SUM(Tabla3610[[#This Row],[ÚNICO]:[AÑO 10]])</f>
        <v>85509.45</v>
      </c>
    </row>
    <row r="11" spans="1:21" x14ac:dyDescent="0.3">
      <c r="A11" s="97"/>
      <c r="B11" s="121" t="s">
        <v>142</v>
      </c>
      <c r="C11" s="126">
        <v>0.1</v>
      </c>
      <c r="D11" s="114"/>
      <c r="E11" s="97"/>
      <c r="F11" s="106">
        <v>5</v>
      </c>
      <c r="G11" s="99" t="s">
        <v>139</v>
      </c>
      <c r="H11" s="107">
        <v>350</v>
      </c>
      <c r="I11" s="108"/>
      <c r="J11" s="119"/>
      <c r="K11" s="120">
        <f>IF($C$12="LEMPIRAS",IF(K$5&lt;=$C$8,Tabla3610[[#This Row],[TARIFA]]*$C$9,0),IF(K$5&lt;=$C$8,Tabla3610[[#This Row],[TARIFA]],0))</f>
        <v>9208.6750000000011</v>
      </c>
      <c r="L11" s="120">
        <f>IF($C$12="LEMPIRAS",IF(L5&lt;=$C$8,Tabla3610[[#This Row],[TARIFA]]*$C$9,0),IF(L5&lt;=$C$8,Tabla3610[[#This Row],[TARIFA]],0))</f>
        <v>9208.6750000000011</v>
      </c>
      <c r="M11" s="120">
        <f>IF($C$12="LEMPIRAS",IF(M5&lt;=$C$8,Tabla3610[[#This Row],[TARIFA]]*$C$9,0),IF(M5&lt;=$C$8,Tabla3610[[#This Row],[TARIFA]],0))</f>
        <v>9208.6750000000011</v>
      </c>
      <c r="N11" s="120">
        <f>IF($C$12="LEMPIRAS",IF(N5&lt;=$C$8,Tabla3610[[#This Row],[TARIFA]]*$C$9,0),IF(N5&lt;=$C$8,Tabla3610[[#This Row],[TARIFA]],0))</f>
        <v>9208.6750000000011</v>
      </c>
      <c r="O11" s="120">
        <f>IF($C$12="LEMPIRAS",IF(O5&lt;=$C$8,Tabla3610[[#This Row],[TARIFA]]*$C$9,0),IF(O5&lt;=$C$8,Tabla3610[[#This Row],[TARIFA]],0))</f>
        <v>9208.6750000000011</v>
      </c>
      <c r="P11" s="120">
        <f>IF($C$12="LEMPIRAS",IF(P5&lt;=$C$8,Tabla3610[[#This Row],[TARIFA]]*$C$9,0),IF(P5&lt;=$C$8,Tabla3610[[#This Row],[TARIFA]],0))</f>
        <v>0</v>
      </c>
      <c r="Q11" s="120">
        <f>IF($C$12="LEMPIRAS",IF(Q5&lt;=$C$8,Tabla3610[[#This Row],[TARIFA]]*$C$9,0),IF(Q5&lt;=$C$8,Tabla3610[[#This Row],[TARIFA]],0))</f>
        <v>0</v>
      </c>
      <c r="R11" s="120">
        <f>IF($C$12="LEMPIRAS",IF(R5&lt;=$C$8,Tabla3610[[#This Row],[TARIFA]]*$C$9,0),IF(R5&lt;=$C$8,Tabla3610[[#This Row],[TARIFA]],0))</f>
        <v>0</v>
      </c>
      <c r="S11" s="120">
        <f>IF($C$12="LEMPIRAS",IF(S5&lt;=$C$8,Tabla3610[[#This Row],[TARIFA]]*$C$9,0),IF(S5&lt;=$C$8,Tabla3610[[#This Row],[TARIFA]],0))</f>
        <v>0</v>
      </c>
      <c r="T11" s="120">
        <f>IF($C$12="LEMPIRAS",IF(T5&lt;=$C$8,Tabla3610[[#This Row],[TARIFA]]*$C$9,0),IF(T5&lt;=$C$8,Tabla3610[[#This Row],[TARIFA]],0))</f>
        <v>0</v>
      </c>
      <c r="U11" s="118">
        <f>SUM(Tabla3610[[#This Row],[ÚNICO]:[AÑO 10]])</f>
        <v>46043.375000000007</v>
      </c>
    </row>
    <row r="12" spans="1:21" x14ac:dyDescent="0.3">
      <c r="A12" s="97"/>
      <c r="B12" s="121" t="s">
        <v>138</v>
      </c>
      <c r="C12" s="127" t="s">
        <v>67</v>
      </c>
      <c r="D12" s="115"/>
      <c r="E12" s="97"/>
      <c r="F12" s="106">
        <v>6</v>
      </c>
      <c r="G12" s="99" t="s">
        <v>144</v>
      </c>
      <c r="H12" s="109">
        <v>5.0000000000000002E-5</v>
      </c>
      <c r="I12" s="108">
        <f>C10*C7</f>
        <v>1315530000</v>
      </c>
      <c r="J12" s="119"/>
      <c r="K12" s="120">
        <f>Tabla3610[[#This Row],[BASE CÁLCULO]]*Tabla3610[[#This Row],[TARIFA]]</f>
        <v>65776.5</v>
      </c>
      <c r="L12" s="120"/>
      <c r="M12" s="120"/>
      <c r="N12" s="120"/>
      <c r="O12" s="120"/>
      <c r="P12" s="120"/>
      <c r="Q12" s="118"/>
      <c r="R12" s="118"/>
      <c r="S12" s="118"/>
      <c r="T12" s="118"/>
      <c r="U12" s="118">
        <f>SUM(Tabla3610[[#This Row],[ÚNICO]:[AÑO 10]])</f>
        <v>65776.5</v>
      </c>
    </row>
    <row r="13" spans="1:21" x14ac:dyDescent="0.3">
      <c r="A13" s="97"/>
      <c r="E13" s="97"/>
      <c r="F13" s="106">
        <v>7</v>
      </c>
      <c r="G13" s="99" t="s">
        <v>145</v>
      </c>
      <c r="H13" s="109">
        <v>1.4E-5</v>
      </c>
      <c r="I13" s="108">
        <f>C10*C7</f>
        <v>1315530000</v>
      </c>
      <c r="J13" s="119"/>
      <c r="K13" s="120">
        <f>IF(K5&lt;=$C$8,Tabla3610[[#This Row],[BASE CÁLCULO]]*Tabla3610[[#This Row],[TARIFA]]*12,0)</f>
        <v>221009.03999999998</v>
      </c>
      <c r="L13" s="120">
        <f>IF(L5&lt;=$C$8,Tabla3610[[#This Row],[BASE CÁLCULO]]*Tabla3610[[#This Row],[TARIFA]]*12,0)</f>
        <v>221009.03999999998</v>
      </c>
      <c r="M13" s="120">
        <f>IF(M5&lt;=$C$8,Tabla3610[[#This Row],[BASE CÁLCULO]]*Tabla3610[[#This Row],[TARIFA]]*12,0)</f>
        <v>221009.03999999998</v>
      </c>
      <c r="N13" s="120">
        <f>IF(N5&lt;=$C$8,Tabla3610[[#This Row],[BASE CÁLCULO]]*Tabla3610[[#This Row],[TARIFA]]*12,0)</f>
        <v>221009.03999999998</v>
      </c>
      <c r="O13" s="120">
        <f>IF(O5&lt;=$C$8,Tabla3610[[#This Row],[BASE CÁLCULO]]*Tabla3610[[#This Row],[TARIFA]]*12,0)</f>
        <v>221009.03999999998</v>
      </c>
      <c r="P13" s="120">
        <f>IF(P5&lt;=$C$8,Tabla3610[[#This Row],[BASE CÁLCULO]]*Tabla3610[[#This Row],[TARIFA]]*12,0)</f>
        <v>0</v>
      </c>
      <c r="Q13" s="120">
        <f>IF(Q5&lt;=$C$8,Tabla3610[[#This Row],[BASE CÁLCULO]]*Tabla3610[[#This Row],[TARIFA]]*12,0)</f>
        <v>0</v>
      </c>
      <c r="R13" s="120">
        <f>IF(R5&lt;=$C$8,Tabla3610[[#This Row],[BASE CÁLCULO]]*Tabla3610[[#This Row],[TARIFA]]*12,0)</f>
        <v>0</v>
      </c>
      <c r="S13" s="120">
        <f>IF(S5&lt;=$C$8,Tabla3610[[#This Row],[BASE CÁLCULO]]*Tabla3610[[#This Row],[TARIFA]]*12,0)</f>
        <v>0</v>
      </c>
      <c r="T13" s="120">
        <f>IF(T5&lt;=$C$8,Tabla3610[[#This Row],[BASE CÁLCULO]]*Tabla3610[[#This Row],[TARIFA]]*12,0)</f>
        <v>0</v>
      </c>
      <c r="U13" s="118">
        <f>SUM(Tabla3610[[#This Row],[ÚNICO]:[AÑO 10]])</f>
        <v>1105045.2</v>
      </c>
    </row>
    <row r="14" spans="1:21" x14ac:dyDescent="0.3">
      <c r="A14" s="97"/>
      <c r="B14" s="132" t="s">
        <v>159</v>
      </c>
      <c r="C14" s="122"/>
      <c r="D14" s="122"/>
      <c r="E14" s="97"/>
      <c r="F14" s="106">
        <v>8</v>
      </c>
      <c r="G14" s="99" t="s">
        <v>155</v>
      </c>
      <c r="H14" s="109">
        <v>4.8000000000000001E-4</v>
      </c>
      <c r="I14" s="108">
        <f>C10*C11*C7</f>
        <v>131553000</v>
      </c>
      <c r="J14" s="119"/>
      <c r="K14" s="120">
        <f>IF(K5&lt;=$C$8,Tabla3610[[#This Row],[BASE CÁLCULO]]*Tabla3610[[#This Row],[TARIFA]],0)</f>
        <v>63145.440000000002</v>
      </c>
      <c r="L14" s="120">
        <f>IF(L5&lt;=$C$8,Tabla3610[[#This Row],[BASE CÁLCULO]]*Tabla3610[[#This Row],[TARIFA]],0)</f>
        <v>63145.440000000002</v>
      </c>
      <c r="M14" s="120">
        <f>IF(M5&lt;=$C$8,Tabla3610[[#This Row],[BASE CÁLCULO]]*Tabla3610[[#This Row],[TARIFA]],0)</f>
        <v>63145.440000000002</v>
      </c>
      <c r="N14" s="120">
        <f>IF(N5&lt;=$C$8,Tabla3610[[#This Row],[BASE CÁLCULO]]*Tabla3610[[#This Row],[TARIFA]],0)</f>
        <v>63145.440000000002</v>
      </c>
      <c r="O14" s="120">
        <f>IF(O5&lt;=$C$8,Tabla3610[[#This Row],[BASE CÁLCULO]]*Tabla3610[[#This Row],[TARIFA]],0)</f>
        <v>63145.440000000002</v>
      </c>
      <c r="P14" s="120">
        <f>IF(P5&lt;=$C$8,Tabla3610[[#This Row],[BASE CÁLCULO]]*Tabla3610[[#This Row],[TARIFA]],0)</f>
        <v>0</v>
      </c>
      <c r="Q14" s="120">
        <f>IF(Q5&lt;=$C$8,Tabla3610[[#This Row],[BASE CÁLCULO]]*Tabla3610[[#This Row],[TARIFA]],0)</f>
        <v>0</v>
      </c>
      <c r="R14" s="120">
        <f>IF(R5&lt;=$C$8,Tabla3610[[#This Row],[BASE CÁLCULO]]*Tabla3610[[#This Row],[TARIFA]],0)</f>
        <v>0</v>
      </c>
      <c r="S14" s="120">
        <f>IF(S5&lt;=$C$8,Tabla3610[[#This Row],[BASE CÁLCULO]]*Tabla3610[[#This Row],[TARIFA]],0)</f>
        <v>0</v>
      </c>
      <c r="T14" s="120">
        <f>IF(T5&lt;=$C$8,Tabla3610[[#This Row],[BASE CÁLCULO]]*Tabla3610[[#This Row],[TARIFA]],0)</f>
        <v>0</v>
      </c>
      <c r="U14" s="118">
        <f>SUM(Tabla3610[[#This Row],[ÚNICO]:[AÑO 10]])</f>
        <v>315727.2</v>
      </c>
    </row>
    <row r="15" spans="1:21" ht="17.25" customHeight="1" x14ac:dyDescent="0.3">
      <c r="A15" s="97"/>
      <c r="B15" s="137" t="s">
        <v>160</v>
      </c>
      <c r="C15" s="137"/>
      <c r="D15" s="137"/>
      <c r="E15" s="97"/>
      <c r="F15" s="106">
        <v>9</v>
      </c>
      <c r="G15" s="99" t="s">
        <v>156</v>
      </c>
      <c r="H15" s="109">
        <v>1E-4</v>
      </c>
      <c r="I15" s="108">
        <f>C10*C7</f>
        <v>1315530000</v>
      </c>
      <c r="J15" s="119"/>
      <c r="K15" s="120">
        <f>IF($C$8=K5,Tabla3610[[#This Row],[BASE CÁLCULO]]*Tabla3610[[#This Row],[TARIFA]],0)</f>
        <v>0</v>
      </c>
      <c r="L15" s="120">
        <f>IF($C$8=L5,Tabla3610[[#This Row],[BASE CÁLCULO]]*Tabla3610[[#This Row],[TARIFA]],0)</f>
        <v>0</v>
      </c>
      <c r="M15" s="120">
        <f>IF($C$8=M5,Tabla3610[[#This Row],[BASE CÁLCULO]]*Tabla3610[[#This Row],[TARIFA]],0)</f>
        <v>0</v>
      </c>
      <c r="N15" s="120">
        <f>IF($C$8=N5,Tabla3610[[#This Row],[BASE CÁLCULO]]*Tabla3610[[#This Row],[TARIFA]],0)</f>
        <v>0</v>
      </c>
      <c r="O15" s="120">
        <f>IF($C$8=O5,Tabla3610[[#This Row],[BASE CÁLCULO]]*Tabla3610[[#This Row],[TARIFA]],0)</f>
        <v>131553</v>
      </c>
      <c r="P15" s="120">
        <f>IF($C$8=P5,Tabla3610[[#This Row],[BASE CÁLCULO]]*Tabla3610[[#This Row],[TARIFA]],0)</f>
        <v>0</v>
      </c>
      <c r="Q15" s="120">
        <f>IF($C$8=Q5,Tabla3610[[#This Row],[BASE CÁLCULO]]*Tabla3610[[#This Row],[TARIFA]],0)</f>
        <v>0</v>
      </c>
      <c r="R15" s="120">
        <f>IF($C$8=R5,Tabla3610[[#This Row],[BASE CÁLCULO]]*Tabla3610[[#This Row],[TARIFA]],0)</f>
        <v>0</v>
      </c>
      <c r="S15" s="120">
        <f>IF($C$8=S5,Tabla3610[[#This Row],[BASE CÁLCULO]]*Tabla3610[[#This Row],[TARIFA]],0)</f>
        <v>0</v>
      </c>
      <c r="T15" s="120">
        <f>IF($C$8=T5,Tabla3610[[#This Row],[BASE CÁLCULO]]*Tabla3610[[#This Row],[TARIFA]],0)</f>
        <v>0</v>
      </c>
      <c r="U15" s="118">
        <f>SUM(Tabla3610[[#This Row],[ÚNICO]:[AÑO 10]])</f>
        <v>131553</v>
      </c>
    </row>
    <row r="16" spans="1:21" x14ac:dyDescent="0.3">
      <c r="A16" s="97"/>
      <c r="B16" s="137"/>
      <c r="C16" s="137"/>
      <c r="D16" s="137"/>
      <c r="E16" s="97"/>
      <c r="F16" s="106">
        <v>10</v>
      </c>
      <c r="G16" s="99" t="s">
        <v>164</v>
      </c>
      <c r="H16" s="107">
        <v>5</v>
      </c>
      <c r="I16" s="119"/>
      <c r="J16" s="119"/>
      <c r="K16" s="120">
        <f>IF($C$12="LEMPIRAS",IF(K$5&lt;=$C$8,Tabla3610[[#This Row],[TARIFA]]*$C$9,0),IF(K$5&lt;=$C$8,Tabla3610[[#This Row],[TARIFA]],0))</f>
        <v>131.55250000000001</v>
      </c>
      <c r="L16" s="120">
        <f>IF($C$12="LEMPIRAS",IF(L$5&lt;=$C$8,Tabla3610[[#This Row],[TARIFA]]*$C$9,0),IF(L$5&lt;=$C$8,Tabla3610[[#This Row],[TARIFA]],0))</f>
        <v>131.55250000000001</v>
      </c>
      <c r="M16" s="120">
        <f>IF($C$12="LEMPIRAS",IF(M$5&lt;=$C$8,Tabla3610[[#This Row],[TARIFA]]*$C$9,0),IF(M$5&lt;=$C$8,Tabla3610[[#This Row],[TARIFA]],0))</f>
        <v>131.55250000000001</v>
      </c>
      <c r="N16" s="120">
        <f>IF($C$12="LEMPIRAS",IF(N$5&lt;=$C$8,Tabla3610[[#This Row],[TARIFA]]*$C$9,0),IF(N$5&lt;=$C$8,Tabla3610[[#This Row],[TARIFA]],0))</f>
        <v>131.55250000000001</v>
      </c>
      <c r="O16" s="120">
        <f>IF($C$12="LEMPIRAS",IF(O$5&lt;=$C$8,Tabla3610[[#This Row],[TARIFA]]*$C$9,0),IF(O$5&lt;=$C$8,Tabla3610[[#This Row],[TARIFA]],0))</f>
        <v>131.55250000000001</v>
      </c>
      <c r="P16" s="120">
        <f>IF($C$12="LEMPIRAS",IF(P$5&lt;=$C$8,Tabla3610[[#This Row],[TARIFA]]*$C$9,0),IF(P$5&lt;=$C$8,Tabla3610[[#This Row],[TARIFA]],0))</f>
        <v>0</v>
      </c>
      <c r="Q16" s="120">
        <f>IF($C$12="LEMPIRAS",IF(Q$5&lt;=$C$8,Tabla3610[[#This Row],[TARIFA]]*$C$9,0),IF(Q$5&lt;=$C$8,Tabla3610[[#This Row],[TARIFA]],0))</f>
        <v>0</v>
      </c>
      <c r="R16" s="120">
        <f>IF($C$12="LEMPIRAS",IF(R$5&lt;=$C$8,Tabla3610[[#This Row],[TARIFA]]*$C$9,0),IF(R$5&lt;=$C$8,Tabla3610[[#This Row],[TARIFA]],0))</f>
        <v>0</v>
      </c>
      <c r="S16" s="120">
        <f>IF($C$12="LEMPIRAS",IF(S$5&lt;=$C$8,Tabla3610[[#This Row],[TARIFA]]*$C$9,0),IF(S$5&lt;=$C$8,Tabla3610[[#This Row],[TARIFA]],0))</f>
        <v>0</v>
      </c>
      <c r="T16" s="120">
        <f>IF($C$12="LEMPIRAS",IF(T$5&lt;=$C$8,Tabla3610[[#This Row],[TARIFA]]*$C$9,0),IF(T$5&lt;=$C$8,Tabla3610[[#This Row],[TARIFA]],0))</f>
        <v>0</v>
      </c>
      <c r="U16" s="130">
        <f>SUM(Tabla3610[[#This Row],[ÚNICO]:[AÑO 10]])</f>
        <v>657.76250000000005</v>
      </c>
    </row>
    <row r="17" spans="1:21" x14ac:dyDescent="0.3">
      <c r="A17" s="97"/>
      <c r="B17" s="137"/>
      <c r="C17" s="137"/>
      <c r="D17" s="137"/>
      <c r="E17" s="97"/>
      <c r="F17" s="106">
        <v>11</v>
      </c>
      <c r="G17" s="99" t="s">
        <v>165</v>
      </c>
      <c r="H17" s="107">
        <v>5</v>
      </c>
      <c r="I17" s="119"/>
      <c r="J17" s="119"/>
      <c r="K17" s="120">
        <f>IF($C$12="LEMPIRAS",IF(K$5&lt;=$C$8,Tabla3610[[#This Row],[TARIFA]]*$C$9,0),IF(K$5&lt;=$C$8,Tabla3610[[#This Row],[TARIFA]],0))</f>
        <v>131.55250000000001</v>
      </c>
      <c r="L17" s="120">
        <f>IF($C$12="LEMPIRAS",IF(L$5&lt;=$C$8,Tabla3610[[#This Row],[TARIFA]]*$C$9,0),IF(L$5&lt;=$C$8,Tabla3610[[#This Row],[TARIFA]],0))</f>
        <v>131.55250000000001</v>
      </c>
      <c r="M17" s="120">
        <f>IF($C$12="LEMPIRAS",IF(M$5&lt;=$C$8,Tabla3610[[#This Row],[TARIFA]]*$C$9,0),IF(M$5&lt;=$C$8,Tabla3610[[#This Row],[TARIFA]],0))</f>
        <v>131.55250000000001</v>
      </c>
      <c r="N17" s="120">
        <f>IF($C$12="LEMPIRAS",IF(N$5&lt;=$C$8,Tabla3610[[#This Row],[TARIFA]]*$C$9,0),IF(N$5&lt;=$C$8,Tabla3610[[#This Row],[TARIFA]],0))</f>
        <v>131.55250000000001</v>
      </c>
      <c r="O17" s="120">
        <f>IF($C$12="LEMPIRAS",IF(O$5&lt;=$C$8,Tabla3610[[#This Row],[TARIFA]]*$C$9,0),IF(O$5&lt;=$C$8,Tabla3610[[#This Row],[TARIFA]],0))</f>
        <v>131.55250000000001</v>
      </c>
      <c r="P17" s="120">
        <f>IF($C$12="LEMPIRAS",IF(P$5&lt;=$C$8,Tabla3610[[#This Row],[TARIFA]]*$C$9,0),IF(P$5&lt;=$C$8,Tabla3610[[#This Row],[TARIFA]],0))</f>
        <v>0</v>
      </c>
      <c r="Q17" s="120">
        <f>IF($C$12="LEMPIRAS",IF(Q$5&lt;=$C$8,Tabla3610[[#This Row],[TARIFA]]*$C$9,0),IF(Q$5&lt;=$C$8,Tabla3610[[#This Row],[TARIFA]],0))</f>
        <v>0</v>
      </c>
      <c r="R17" s="120">
        <f>IF($C$12="LEMPIRAS",IF(R$5&lt;=$C$8,Tabla3610[[#This Row],[TARIFA]]*$C$9,0),IF(R$5&lt;=$C$8,Tabla3610[[#This Row],[TARIFA]],0))</f>
        <v>0</v>
      </c>
      <c r="S17" s="120">
        <f>IF($C$12="LEMPIRAS",IF(S$5&lt;=$C$8,Tabla3610[[#This Row],[TARIFA]]*$C$9,0),IF(S$5&lt;=$C$8,Tabla3610[[#This Row],[TARIFA]],0))</f>
        <v>0</v>
      </c>
      <c r="T17" s="120">
        <f>IF($C$12="LEMPIRAS",IF(T$5&lt;=$C$8,Tabla3610[[#This Row],[TARIFA]]*$C$9,0),IF(T$5&lt;=$C$8,Tabla3610[[#This Row],[TARIFA]],0))</f>
        <v>0</v>
      </c>
      <c r="U17" s="130">
        <f>SUM(Tabla3610[[#This Row],[ÚNICO]:[AÑO 10]])</f>
        <v>657.76250000000005</v>
      </c>
    </row>
    <row r="18" spans="1:21" ht="16.5" x14ac:dyDescent="0.3">
      <c r="A18" s="97"/>
      <c r="B18" s="137"/>
      <c r="C18" s="137"/>
      <c r="D18" s="137"/>
      <c r="E18" s="97"/>
      <c r="F18" s="110"/>
      <c r="G18" s="110" t="s">
        <v>140</v>
      </c>
      <c r="H18" s="110"/>
      <c r="I18" s="111"/>
      <c r="J18" s="111">
        <f>SUBTOTAL(109,Tabla3610[ÚNICO])</f>
        <v>234163.77500000002</v>
      </c>
      <c r="K18" s="111">
        <f>SUBTOTAL(109,Tabla3610[AÑO 1])</f>
        <v>359402.75999999995</v>
      </c>
      <c r="L18" s="111">
        <f>SUBTOTAL(109,Tabla3610[AÑO 2])</f>
        <v>293626.25999999995</v>
      </c>
      <c r="M18" s="111">
        <f>SUBTOTAL(109,Tabla3610[AÑO 3])</f>
        <v>293626.25999999995</v>
      </c>
      <c r="N18" s="111">
        <f>SUBTOTAL(109,Tabla3610[AÑO 4])</f>
        <v>293626.25999999995</v>
      </c>
      <c r="O18" s="111">
        <f>SUBTOTAL(109,Tabla3610[AÑO 5])</f>
        <v>425179.25999999995</v>
      </c>
      <c r="P18" s="111">
        <f>SUBTOTAL(109,Tabla3610[AÑO 6])</f>
        <v>0</v>
      </c>
      <c r="Q18" s="111">
        <f>SUBTOTAL(109,Tabla3610[AÑO 7])</f>
        <v>0</v>
      </c>
      <c r="R18" s="111">
        <f>SUBTOTAL(109,Tabla3610[AÑO 8])</f>
        <v>0</v>
      </c>
      <c r="S18" s="111">
        <f>SUBTOTAL(109,Tabla3610[AÑO 9])</f>
        <v>0</v>
      </c>
      <c r="T18" s="111">
        <f>SUBTOTAL(109,Tabla3610[AÑO 10])</f>
        <v>0</v>
      </c>
      <c r="U18" s="111">
        <f>SUBTOTAL(109,Tabla3610[Total])</f>
        <v>1899624.575</v>
      </c>
    </row>
    <row r="19" spans="1:21" x14ac:dyDescent="0.3">
      <c r="A19" s="97"/>
      <c r="B19" s="137"/>
      <c r="C19" s="137"/>
      <c r="D19" s="137"/>
      <c r="E19" s="97"/>
      <c r="F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3">
      <c r="A20" s="97"/>
      <c r="B20" s="128"/>
      <c r="C20" s="128"/>
      <c r="D20" s="128"/>
      <c r="E20" s="97"/>
      <c r="F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3">
      <c r="A21" s="97"/>
      <c r="B21" s="131" t="s">
        <v>45</v>
      </c>
      <c r="C21" s="128"/>
      <c r="D21" s="128"/>
      <c r="E21" s="97"/>
      <c r="F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3">
      <c r="A22" s="97"/>
      <c r="B22" s="129" t="s">
        <v>162</v>
      </c>
      <c r="C22" s="128"/>
      <c r="D22" s="128"/>
      <c r="E22" s="97"/>
      <c r="F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3">
      <c r="A23" s="97"/>
      <c r="B23" s="129" t="s">
        <v>163</v>
      </c>
      <c r="C23" s="128"/>
      <c r="D23" s="128"/>
      <c r="E23" s="97"/>
      <c r="F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3">
      <c r="A24" s="97"/>
      <c r="B24" s="128" t="s">
        <v>40</v>
      </c>
      <c r="C24" s="128"/>
      <c r="D24" s="128"/>
      <c r="E24" s="97"/>
      <c r="F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3">
      <c r="A25" s="97"/>
      <c r="B25" s="128" t="s">
        <v>46</v>
      </c>
      <c r="C25" s="128"/>
      <c r="D25" s="128"/>
      <c r="E25" s="97"/>
      <c r="F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3">
      <c r="A26" s="97"/>
      <c r="B26" s="129" t="s">
        <v>166</v>
      </c>
      <c r="C26" s="128"/>
      <c r="D26" s="128"/>
      <c r="E26" s="97"/>
      <c r="F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3">
      <c r="A27" s="97"/>
      <c r="B27" s="128"/>
      <c r="C27" s="128"/>
      <c r="D27" s="128"/>
      <c r="E27" s="97"/>
      <c r="F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idden="1" x14ac:dyDescent="0.3">
      <c r="A28" s="97"/>
      <c r="B28" s="128"/>
      <c r="C28" s="128"/>
      <c r="D28" s="128"/>
      <c r="E28" s="97"/>
      <c r="F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idden="1" x14ac:dyDescent="0.3">
      <c r="A29" s="97"/>
      <c r="B29" s="128"/>
      <c r="C29" s="128"/>
      <c r="D29" s="128"/>
      <c r="E29" s="97"/>
    </row>
  </sheetData>
  <sheetProtection algorithmName="SHA-512" hashValue="V3RXPXX5LsxIeSzXJtiWj+Nw0CihGNPvPcXeEU0bWUYLMn08iDOT497hFb+XYqL3rFze6AdWOOrrTYVaz0rG4A==" saltValue="30RT7dFCs8OaC1MELixn3w==" spinCount="100000" sheet="1" selectLockedCells="1"/>
  <mergeCells count="3">
    <mergeCell ref="F2:U2"/>
    <mergeCell ref="B2:D2"/>
    <mergeCell ref="B15:D19"/>
  </mergeCells>
  <phoneticPr fontId="17" type="noConversion"/>
  <dataValidations count="1">
    <dataValidation type="list" allowBlank="1" showInputMessage="1" showErrorMessage="1" sqref="D12" xr:uid="{50A5C0AE-FC9C-47ED-8D99-2BA5204C0FA0}">
      <formula1>#REF!</formula1>
    </dataValidation>
  </dataValidations>
  <pageMargins left="0.2" right="0.15" top="0.75" bottom="0.75" header="0.3" footer="0.3"/>
  <pageSetup scale="36" fitToHeight="0" orientation="landscape" horizontalDpi="4294967294" verticalDpi="0" r:id="rId1"/>
  <ignoredErrors>
    <ignoredError sqref="F7:G15 H12:H15 H10 H7:H9 H11 F16:H17" calculatedColumn="1"/>
  </ignoredError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0EC299-04C7-4308-BB13-38B441C023CA}">
          <x14:formula1>
            <xm:f>Hoja2!$A$5:$A$6</xm:f>
          </x14:formula1>
          <xm:sqref>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F7D2-F5A1-42BD-A05C-165F5FE66D24}">
  <dimension ref="A1:A6"/>
  <sheetViews>
    <sheetView workbookViewId="0">
      <selection activeCell="A7" sqref="A7"/>
    </sheetView>
  </sheetViews>
  <sheetFormatPr baseColWidth="10" defaultRowHeight="12.75" x14ac:dyDescent="0.2"/>
  <sheetData>
    <row r="1" spans="1:1" x14ac:dyDescent="0.2">
      <c r="A1" t="s">
        <v>57</v>
      </c>
    </row>
    <row r="2" spans="1:1" x14ac:dyDescent="0.2">
      <c r="A2" t="s">
        <v>58</v>
      </c>
    </row>
    <row r="4" spans="1:1" x14ac:dyDescent="0.2">
      <c r="A4" t="s">
        <v>161</v>
      </c>
    </row>
    <row r="5" spans="1:1" x14ac:dyDescent="0.2">
      <c r="A5" t="s">
        <v>67</v>
      </c>
    </row>
    <row r="6" spans="1:1" x14ac:dyDescent="0.2">
      <c r="A6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18A8-27CA-4B6D-B0C5-1B810EB9BC99}">
  <dimension ref="A1:D33"/>
  <sheetViews>
    <sheetView topLeftCell="A7" workbookViewId="0">
      <selection activeCell="A35" sqref="A35"/>
    </sheetView>
  </sheetViews>
  <sheetFormatPr baseColWidth="10" defaultRowHeight="12.75" x14ac:dyDescent="0.2"/>
  <cols>
    <col min="1" max="1" width="14.28515625" bestFit="1" customWidth="1"/>
    <col min="2" max="3" width="15" style="1" bestFit="1" customWidth="1"/>
    <col min="4" max="4" width="11.5703125" style="1"/>
  </cols>
  <sheetData>
    <row r="1" spans="1:3" x14ac:dyDescent="0.2">
      <c r="B1" s="1" t="s">
        <v>13</v>
      </c>
      <c r="C1" s="1" t="s">
        <v>14</v>
      </c>
    </row>
    <row r="2" spans="1:3" x14ac:dyDescent="0.2">
      <c r="A2">
        <v>1</v>
      </c>
      <c r="C2" s="1">
        <f>(120400000*4)+B31</f>
        <v>722400000</v>
      </c>
    </row>
    <row r="3" spans="1:3" x14ac:dyDescent="0.2">
      <c r="A3">
        <v>2</v>
      </c>
      <c r="C3" s="1">
        <f>C2</f>
        <v>722400000</v>
      </c>
    </row>
    <row r="4" spans="1:3" x14ac:dyDescent="0.2">
      <c r="A4">
        <v>3</v>
      </c>
      <c r="C4" s="1">
        <f t="shared" ref="C4:C31" si="0">C3</f>
        <v>722400000</v>
      </c>
    </row>
    <row r="5" spans="1:3" x14ac:dyDescent="0.2">
      <c r="A5">
        <v>4</v>
      </c>
      <c r="C5" s="1">
        <f t="shared" si="0"/>
        <v>722400000</v>
      </c>
    </row>
    <row r="6" spans="1:3" x14ac:dyDescent="0.2">
      <c r="A6">
        <v>5</v>
      </c>
      <c r="C6" s="1">
        <f t="shared" si="0"/>
        <v>722400000</v>
      </c>
    </row>
    <row r="7" spans="1:3" x14ac:dyDescent="0.2">
      <c r="A7">
        <v>6</v>
      </c>
      <c r="C7" s="1">
        <f t="shared" si="0"/>
        <v>722400000</v>
      </c>
    </row>
    <row r="8" spans="1:3" x14ac:dyDescent="0.2">
      <c r="A8">
        <v>7</v>
      </c>
      <c r="C8" s="1">
        <f t="shared" si="0"/>
        <v>722400000</v>
      </c>
    </row>
    <row r="9" spans="1:3" x14ac:dyDescent="0.2">
      <c r="A9">
        <v>8</v>
      </c>
      <c r="C9" s="1">
        <f t="shared" si="0"/>
        <v>722400000</v>
      </c>
    </row>
    <row r="10" spans="1:3" x14ac:dyDescent="0.2">
      <c r="A10">
        <v>9</v>
      </c>
      <c r="C10" s="1">
        <f t="shared" si="0"/>
        <v>722400000</v>
      </c>
    </row>
    <row r="11" spans="1:3" x14ac:dyDescent="0.2">
      <c r="A11">
        <v>10</v>
      </c>
      <c r="C11" s="1">
        <f t="shared" si="0"/>
        <v>722400000</v>
      </c>
    </row>
    <row r="12" spans="1:3" x14ac:dyDescent="0.2">
      <c r="A12">
        <v>11</v>
      </c>
      <c r="C12" s="1">
        <f t="shared" si="0"/>
        <v>722400000</v>
      </c>
    </row>
    <row r="13" spans="1:3" x14ac:dyDescent="0.2">
      <c r="A13">
        <v>12</v>
      </c>
      <c r="C13" s="1">
        <f t="shared" si="0"/>
        <v>722400000</v>
      </c>
    </row>
    <row r="14" spans="1:3" x14ac:dyDescent="0.2">
      <c r="A14">
        <v>13</v>
      </c>
      <c r="C14" s="1">
        <f t="shared" si="0"/>
        <v>722400000</v>
      </c>
    </row>
    <row r="15" spans="1:3" x14ac:dyDescent="0.2">
      <c r="A15">
        <v>14</v>
      </c>
      <c r="C15" s="1">
        <f t="shared" si="0"/>
        <v>722400000</v>
      </c>
    </row>
    <row r="16" spans="1:3" x14ac:dyDescent="0.2">
      <c r="A16">
        <v>15</v>
      </c>
      <c r="C16" s="1">
        <f t="shared" si="0"/>
        <v>722400000</v>
      </c>
    </row>
    <row r="17" spans="1:3" x14ac:dyDescent="0.2">
      <c r="A17">
        <v>16</v>
      </c>
      <c r="C17" s="1">
        <f t="shared" si="0"/>
        <v>722400000</v>
      </c>
    </row>
    <row r="18" spans="1:3" x14ac:dyDescent="0.2">
      <c r="A18">
        <v>17</v>
      </c>
      <c r="C18" s="1">
        <f t="shared" si="0"/>
        <v>722400000</v>
      </c>
    </row>
    <row r="19" spans="1:3" x14ac:dyDescent="0.2">
      <c r="A19">
        <v>18</v>
      </c>
      <c r="C19" s="1">
        <f t="shared" si="0"/>
        <v>722400000</v>
      </c>
    </row>
    <row r="20" spans="1:3" x14ac:dyDescent="0.2">
      <c r="A20">
        <v>19</v>
      </c>
      <c r="C20" s="1">
        <f t="shared" si="0"/>
        <v>722400000</v>
      </c>
    </row>
    <row r="21" spans="1:3" x14ac:dyDescent="0.2">
      <c r="A21">
        <v>20</v>
      </c>
      <c r="C21" s="1">
        <f t="shared" si="0"/>
        <v>722400000</v>
      </c>
    </row>
    <row r="22" spans="1:3" x14ac:dyDescent="0.2">
      <c r="A22">
        <v>21</v>
      </c>
      <c r="C22" s="1">
        <f t="shared" si="0"/>
        <v>722400000</v>
      </c>
    </row>
    <row r="23" spans="1:3" x14ac:dyDescent="0.2">
      <c r="A23">
        <v>22</v>
      </c>
      <c r="C23" s="1">
        <f t="shared" si="0"/>
        <v>722400000</v>
      </c>
    </row>
    <row r="24" spans="1:3" x14ac:dyDescent="0.2">
      <c r="A24">
        <v>23</v>
      </c>
      <c r="C24" s="1">
        <f t="shared" si="0"/>
        <v>722400000</v>
      </c>
    </row>
    <row r="25" spans="1:3" x14ac:dyDescent="0.2">
      <c r="A25">
        <v>24</v>
      </c>
      <c r="C25" s="1">
        <f t="shared" si="0"/>
        <v>722400000</v>
      </c>
    </row>
    <row r="26" spans="1:3" x14ac:dyDescent="0.2">
      <c r="A26">
        <v>25</v>
      </c>
      <c r="C26" s="1">
        <f t="shared" si="0"/>
        <v>722400000</v>
      </c>
    </row>
    <row r="27" spans="1:3" x14ac:dyDescent="0.2">
      <c r="A27">
        <v>26</v>
      </c>
      <c r="C27" s="1">
        <f t="shared" si="0"/>
        <v>722400000</v>
      </c>
    </row>
    <row r="28" spans="1:3" x14ac:dyDescent="0.2">
      <c r="A28">
        <v>27</v>
      </c>
      <c r="B28" s="1">
        <f>120400000*2</f>
        <v>240800000</v>
      </c>
      <c r="C28" s="1">
        <f t="shared" si="0"/>
        <v>722400000</v>
      </c>
    </row>
    <row r="29" spans="1:3" x14ac:dyDescent="0.2">
      <c r="A29">
        <v>28</v>
      </c>
      <c r="B29" s="1">
        <f t="shared" ref="B29:B31" si="1">120400000*2</f>
        <v>240800000</v>
      </c>
      <c r="C29" s="1">
        <f t="shared" si="0"/>
        <v>722400000</v>
      </c>
    </row>
    <row r="30" spans="1:3" x14ac:dyDescent="0.2">
      <c r="A30">
        <v>29</v>
      </c>
      <c r="B30" s="1">
        <f t="shared" si="1"/>
        <v>240800000</v>
      </c>
      <c r="C30" s="1">
        <f t="shared" si="0"/>
        <v>722400000</v>
      </c>
    </row>
    <row r="31" spans="1:3" x14ac:dyDescent="0.2">
      <c r="A31">
        <v>30</v>
      </c>
      <c r="B31" s="1">
        <f t="shared" si="1"/>
        <v>240800000</v>
      </c>
      <c r="C31" s="1">
        <f t="shared" si="0"/>
        <v>722400000</v>
      </c>
    </row>
    <row r="32" spans="1:3" x14ac:dyDescent="0.2">
      <c r="A32">
        <v>31</v>
      </c>
      <c r="B32" s="1">
        <v>240800000</v>
      </c>
      <c r="C32" s="1">
        <v>722400000</v>
      </c>
    </row>
    <row r="33" spans="1:3" x14ac:dyDescent="0.2">
      <c r="A33" t="s">
        <v>15</v>
      </c>
      <c r="B33" s="1">
        <f>AVERAGE(B28:B32)</f>
        <v>240800000</v>
      </c>
      <c r="C33" s="1">
        <f>AVERAGE(C2:C32)</f>
        <v>722400000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Simulador..</vt:lpstr>
      <vt:lpstr>Simulador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V.  Alvarenga P.</dc:creator>
  <cp:lastModifiedBy>Karla Alvarenga</cp:lastModifiedBy>
  <cp:lastPrinted>2025-10-21T17:34:37Z</cp:lastPrinted>
  <dcterms:created xsi:type="dcterms:W3CDTF">2021-08-25T15:50:18Z</dcterms:created>
  <dcterms:modified xsi:type="dcterms:W3CDTF">2025-10-21T17:34:53Z</dcterms:modified>
</cp:coreProperties>
</file>