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3.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defaultThemeVersion="166925"/>
  <mc:AlternateContent xmlns:mc="http://schemas.openxmlformats.org/markup-compatibility/2006">
    <mc:Choice Requires="x15">
      <x15ac:absPath xmlns:x15ac="http://schemas.microsoft.com/office/spreadsheetml/2010/11/ac" url="C:\Users\Oficial_CEHVAL\Downloads\"/>
    </mc:Choice>
  </mc:AlternateContent>
  <xr:revisionPtr revIDLastSave="0" documentId="13_ncr:1_{FC22C3B2-BB86-44EA-B0D6-2A30B0CA74CC}" xr6:coauthVersionLast="47" xr6:coauthVersionMax="47" xr10:uidLastSave="{00000000-0000-0000-0000-000000000000}"/>
  <workbookProtection workbookAlgorithmName="SHA-512" workbookHashValue="11PydBwbedlHpa8nAMkyXkPbHwIGjQzszj15Ts9dhIH+RVgHvCYr4unIqmASpC4VzV4QMBO98zI6qCk5a+2ooA==" workbookSaltValue="371fc66GSDrzs2GhKSqYKA==" workbookSpinCount="100000" lockStructure="1"/>
  <bookViews>
    <workbookView xWindow="-120" yWindow="-120" windowWidth="20730" windowHeight="11040" tabRatio="599" xr2:uid="{B32C460A-5968-4A0B-9300-88F758C270FF}"/>
  </bookViews>
  <sheets>
    <sheet name="CALCULADORA BURSÁTIL" sheetId="2" r:id="rId1"/>
    <sheet name="CALCULADORA REPORTOS" sheetId="3" r:id="rId2"/>
    <sheet name="COSTOS CUSTODIA Y LIQUIDACION " sheetId="6" r:id="rId3"/>
    <sheet name="PARAMETROS" sheetId="4" state="hidden" r:id="rId4"/>
  </sheets>
  <definedNames>
    <definedName name="_xlnm.Print_Area" localSheetId="0">'CALCULADORA BURSÁTIL'!$B$2:$L$30</definedName>
    <definedName name="_xlnm.Print_Area" localSheetId="1">'CALCULADORA REPORTOS'!$B$2:$K$29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E23" i="6" l="1"/>
  <c r="I23" i="3" l="1"/>
  <c r="J15" i="3"/>
  <c r="E13" i="6" s="1"/>
  <c r="J18" i="3" l="1"/>
  <c r="J17" i="3"/>
  <c r="J16" i="3"/>
  <c r="J19" i="3"/>
  <c r="E18" i="6"/>
  <c r="G18" i="6" s="1"/>
  <c r="G13" i="6"/>
  <c r="I6" i="3"/>
  <c r="B3" i="4" s="1" a="1"/>
  <c r="B3" i="4" s="1"/>
  <c r="B4" i="4" a="1"/>
  <c r="B4" i="4" s="1"/>
  <c r="B1" i="4" a="1"/>
  <c r="B1" i="4" s="1"/>
  <c r="B2" i="4" a="1"/>
  <c r="B2" i="4" s="1"/>
  <c r="C35" i="4" l="1"/>
  <c r="B5" i="4"/>
  <c r="C45" i="4" s="1"/>
  <c r="J20" i="3"/>
  <c r="J21" i="3"/>
  <c r="I7" i="3"/>
  <c r="J9" i="3" s="1"/>
  <c r="E22" i="3"/>
  <c r="E23" i="3" s="1"/>
  <c r="I15" i="3"/>
  <c r="E9" i="3"/>
  <c r="K14" i="2"/>
  <c r="J22" i="2"/>
  <c r="J21" i="2"/>
  <c r="E18" i="2"/>
  <c r="E21" i="2" s="1"/>
  <c r="E22" i="2" s="1"/>
  <c r="I28" i="3" l="1"/>
  <c r="I27" i="3"/>
  <c r="I26" i="3"/>
  <c r="I25" i="3"/>
  <c r="F24" i="6"/>
  <c r="D24" i="6"/>
  <c r="D23" i="6"/>
  <c r="F23" i="6"/>
  <c r="E16" i="3"/>
  <c r="J25" i="3" s="1"/>
  <c r="J26" i="3" s="1"/>
  <c r="F18" i="6"/>
  <c r="D18" i="6"/>
  <c r="F13" i="6"/>
  <c r="D13" i="6"/>
  <c r="C46" i="4"/>
  <c r="I8" i="3" s="1"/>
  <c r="J10" i="3" s="1"/>
  <c r="J12" i="3" s="1"/>
  <c r="I14" i="3"/>
  <c r="I10" i="3"/>
  <c r="I12" i="3" s="1"/>
  <c r="I19" i="3"/>
  <c r="I20" i="3"/>
  <c r="I18" i="3"/>
  <c r="I21" i="3"/>
  <c r="I16" i="3"/>
  <c r="I17" i="3"/>
  <c r="I9" i="3"/>
  <c r="K7" i="2"/>
  <c r="K19" i="2" s="1"/>
  <c r="J6" i="2"/>
  <c r="G23" i="6" l="1"/>
  <c r="E24" i="6" s="1"/>
  <c r="G24" i="6" s="1"/>
  <c r="F19" i="6"/>
  <c r="D19" i="6"/>
  <c r="D14" i="6"/>
  <c r="F14" i="6"/>
  <c r="J27" i="3"/>
  <c r="D31" i="3"/>
  <c r="I11" i="3" s="1"/>
  <c r="J23" i="2"/>
  <c r="K8" i="2"/>
  <c r="K9" i="2" s="1"/>
  <c r="J9" i="2"/>
  <c r="J15" i="2"/>
  <c r="J10" i="2"/>
  <c r="J16" i="2"/>
  <c r="J12" i="2"/>
  <c r="J18" i="2"/>
  <c r="J7" i="2"/>
  <c r="J13" i="2"/>
  <c r="J19" i="2"/>
  <c r="J8" i="2"/>
  <c r="J14" i="2"/>
  <c r="J11" i="2"/>
  <c r="J17" i="2"/>
  <c r="E14" i="6" l="1"/>
  <c r="G14" i="6" s="1"/>
  <c r="I24" i="3"/>
  <c r="J28" i="3"/>
  <c r="E19" i="6" s="1"/>
  <c r="G19" i="6" s="1"/>
  <c r="K16" i="2"/>
  <c r="K15" i="2"/>
  <c r="K13" i="2"/>
  <c r="K11" i="2" l="1"/>
  <c r="K10" i="2"/>
  <c r="K18" i="2"/>
  <c r="K17" i="2"/>
  <c r="K12" i="2"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tc={849EE575-A043-48BE-A119-9AB15BB9CDFC}</author>
  </authors>
  <commentList>
    <comment ref="D24" authorId="0" shapeId="0" xr:uid="{849EE575-A043-48BE-A119-9AB15BB9CDFC}">
      <text>
        <t>[Comentario encadenado]
Su versión de Excel le permite leer este comentario encadenado; sin embargo, las ediciones que se apliquen se quitarán si el archivo se abre en una versión más reciente de Excel. Más información: https://go.microsoft.com/fwlink/?linkid=870924
Comentario:
    Nota: Tipo de Cambio de Venta de BCH del día de la Operación.</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<sst xmlns="http://schemas.openxmlformats.org/spreadsheetml/2006/main" count="206" uniqueCount="125">
  <si>
    <t>DATOS</t>
  </si>
  <si>
    <t>Numero de Boleta</t>
  </si>
  <si>
    <t>CALCULOS</t>
  </si>
  <si>
    <t>Días al Vencimiento</t>
  </si>
  <si>
    <t>Tipo de Mercado</t>
  </si>
  <si>
    <t>PRIMARIO</t>
  </si>
  <si>
    <t>Intereses Acumulados</t>
  </si>
  <si>
    <t>Fecha Emisión</t>
  </si>
  <si>
    <t>Valor Transado Precio Limpio</t>
  </si>
  <si>
    <t>Fecha de Vencimiento</t>
  </si>
  <si>
    <t>Valor Transado Precio Sucio</t>
  </si>
  <si>
    <t>Fecha de Colocación</t>
  </si>
  <si>
    <t>Total a Recibir</t>
  </si>
  <si>
    <t>Ultimo Pago de Intereses</t>
  </si>
  <si>
    <t>Total a Pagar</t>
  </si>
  <si>
    <t>Siguiente Pago de Intereses</t>
  </si>
  <si>
    <t>Comision Total</t>
  </si>
  <si>
    <t>Periodicidad</t>
  </si>
  <si>
    <t>Comision Vendedor Bolsa</t>
  </si>
  <si>
    <t>Tasa Cupón</t>
  </si>
  <si>
    <t>Comision Vendedor Casa</t>
  </si>
  <si>
    <t>Tasa de Rendimiento</t>
  </si>
  <si>
    <t>Comision Comprador Bolsa</t>
  </si>
  <si>
    <t>Valor de Rescate</t>
  </si>
  <si>
    <t>Comision Comprador Casa</t>
  </si>
  <si>
    <t>Moneda</t>
  </si>
  <si>
    <t>Lempiras</t>
  </si>
  <si>
    <t>Comision BCV</t>
  </si>
  <si>
    <t>Valor Nominal</t>
  </si>
  <si>
    <t>Comision Casa de Bolsa</t>
  </si>
  <si>
    <t>Porcentaje de Comision Vendedor</t>
  </si>
  <si>
    <t>Impuestos</t>
  </si>
  <si>
    <t>Porcentaje de Comision Comprador</t>
  </si>
  <si>
    <t>Comision Vendedor (Efectiva)</t>
  </si>
  <si>
    <t>FACTORES</t>
  </si>
  <si>
    <t>Precio Limpio</t>
  </si>
  <si>
    <t>Comision Comprador (Efectiva)</t>
  </si>
  <si>
    <t>Intereses Corridos</t>
  </si>
  <si>
    <t>Base (Precio/InteresesAcumulados)</t>
  </si>
  <si>
    <t>Real/real</t>
  </si>
  <si>
    <t>Precio Sucio</t>
  </si>
  <si>
    <t>Base (Días al Vecimiento)</t>
  </si>
  <si>
    <t>REAL</t>
  </si>
  <si>
    <t>Precio Limpio (En caso de ser Privado)</t>
  </si>
  <si>
    <t>Cantidad decimales</t>
  </si>
  <si>
    <t>Letras Estructurales y Liquidez BCH</t>
  </si>
  <si>
    <t>NO</t>
  </si>
  <si>
    <t>Exento de Impuesto</t>
  </si>
  <si>
    <t>Cuenta Propia</t>
  </si>
  <si>
    <t>SECUNDARIO</t>
  </si>
  <si>
    <t>Dólares EEUU</t>
  </si>
  <si>
    <t>EE.UU. (NASD) 30/360</t>
  </si>
  <si>
    <t>SI</t>
  </si>
  <si>
    <t>Real/360</t>
  </si>
  <si>
    <t>Real/365</t>
  </si>
  <si>
    <t>Europea 30/360</t>
  </si>
  <si>
    <t>DATOS DE LA OPERACIÓN</t>
  </si>
  <si>
    <t>Moneda de Liquidación</t>
  </si>
  <si>
    <t>Moneda del Valor</t>
  </si>
  <si>
    <t>Precio de Mercado (Opcional)</t>
  </si>
  <si>
    <t>Plazo del Reporto</t>
  </si>
  <si>
    <t>Precio Transado</t>
  </si>
  <si>
    <t>Precio de Recompra</t>
  </si>
  <si>
    <t>Valor Transado</t>
  </si>
  <si>
    <t>Porcentaje de Comision Reportado</t>
  </si>
  <si>
    <t>Porcentaje de Comision Reportador</t>
  </si>
  <si>
    <t>Total a Recibir Reportado</t>
  </si>
  <si>
    <t>Total a Pagar Reportador</t>
  </si>
  <si>
    <t>Fecha de Inicio de la Operación de Reporto</t>
  </si>
  <si>
    <t>Fecha de Vencimiento de la Operación de Reporto</t>
  </si>
  <si>
    <t>Total a Recibir Reportador</t>
  </si>
  <si>
    <t>Valor Objeto de Reporto</t>
  </si>
  <si>
    <t>Comisión Bolsa (Reportado)</t>
  </si>
  <si>
    <t>Comisión Bolsa (Reportador)</t>
  </si>
  <si>
    <t>Comisión Casa de Bolsa (Reportador)</t>
  </si>
  <si>
    <t>Precio Actual</t>
  </si>
  <si>
    <t>Valor Presente</t>
  </si>
  <si>
    <t>Valor Presente (menos) Haircut</t>
  </si>
  <si>
    <t>Monto del Reporto (Valor Transado)</t>
  </si>
  <si>
    <t>Total a Pagar Reportado</t>
  </si>
  <si>
    <t>Tasa Premio (Tasa de Interes)</t>
  </si>
  <si>
    <t>Porcentaje de Cobertura Minimo (Haircut)</t>
  </si>
  <si>
    <t>Tipo de Cambio Venta de BCH</t>
  </si>
  <si>
    <t>INSTRUMENTO</t>
  </si>
  <si>
    <t>VALORES REPORTADOS Y LIQUIDADOS EN MONEDA DISTINTA (LIQUIDACIÓN EN HNL)</t>
  </si>
  <si>
    <t>VALORES REPORTADOS Y LIQUIDADOS EN MONEDA DISTINTA (LIQUIDACIÓN EN USD)</t>
  </si>
  <si>
    <t>Tipo de Valor</t>
  </si>
  <si>
    <t>BONO SEFIN (HNL)</t>
  </si>
  <si>
    <t>BONO SOBERANO (USD)</t>
  </si>
  <si>
    <t>BONO BCH (HNL)</t>
  </si>
  <si>
    <t>LETRA BCH (HNL)</t>
  </si>
  <si>
    <t>BONO ENEE (HNL)</t>
  </si>
  <si>
    <t>BONO CORPORATIVO (HNL)</t>
  </si>
  <si>
    <t>BONO CORPORATIVO (USD)</t>
  </si>
  <si>
    <t>Porcentaje de Cobertura Adicional (Haircut)</t>
  </si>
  <si>
    <t>PLAZO</t>
  </si>
  <si>
    <t>HAIRCUT</t>
  </si>
  <si>
    <t>LIQUIDACIÓN</t>
  </si>
  <si>
    <t>HAIRCUT TOTAL</t>
  </si>
  <si>
    <t>Validación de la Cobertura "Haircut"</t>
  </si>
  <si>
    <t>Valor de la Cobertura "Haircut"</t>
  </si>
  <si>
    <t>Premio (Intereses)</t>
  </si>
  <si>
    <t>Comision Reportado (Efectiva)</t>
  </si>
  <si>
    <t>Comision Reportador (Efectiva)</t>
  </si>
  <si>
    <t>DATOS DEL COLATERAL</t>
  </si>
  <si>
    <t xml:space="preserve">Fecha de Vencimiento  </t>
  </si>
  <si>
    <t>COSTOS DE LIQUIDACIÓN REPORTADO</t>
  </si>
  <si>
    <t>DETALLE</t>
  </si>
  <si>
    <t>BASE DE CÁLCULO</t>
  </si>
  <si>
    <t>Liquidación Operación de Inicio de Reporto (Inicio)</t>
  </si>
  <si>
    <t>Liquidación Operación de Recompra (Vencimiento)</t>
  </si>
  <si>
    <t xml:space="preserve">MONTO </t>
  </si>
  <si>
    <t>Servicio de Custodia (al cierre de mes o del vencimiento)</t>
  </si>
  <si>
    <t>Otros Cargos (ISV custodio internacional)</t>
  </si>
  <si>
    <t>TARIFAS</t>
  </si>
  <si>
    <t>Liquidación de Operación de Reporto</t>
  </si>
  <si>
    <t>Servicios de Custodia (al cierre de mes o al vencimiento)</t>
  </si>
  <si>
    <t>COSTOS DE LIQUIDACIÓN  REPORTADOR</t>
  </si>
  <si>
    <t>COSTOS DE CUSTODIA REPORTADOR</t>
  </si>
  <si>
    <t>Comisión Casa de Bolsa (Reportado)</t>
  </si>
  <si>
    <t>Operación de Reporto con Mantenimiento de Valor</t>
  </si>
  <si>
    <t>USD$</t>
  </si>
  <si>
    <t>HNL</t>
  </si>
  <si>
    <t>Nota:
Las tarifas calculadas en Dólares, serán pagaderas al tipo de cambio de venta de la fecha de vencimiento de la Operación de Reporto.</t>
  </si>
  <si>
    <t>NOTA: ESTE TIPO DE OPERACIONES NO HAN SIDO CONCEBIDAS PARA SER UN INSTRUMENTO DE COBERTURA  CAMBIARIA, NI DE MANTENIMIENTO DE VALOR, SIN EMBARGO, CUANDO LA OPERACIÓN DE REPORTO SEA ACORDADA ENTRE LAS PARTES CON MANTENIMIENTO DE VALOR, SE LIQUIDARÁN EN LA FECHA DE VENCIMIENTO DE LA OPERACIÓN LOS VALORES DESCRITOS EN LA CALCULADORA  CON EL TIPO DE CAMBIO DE VENTA DE ESE DÍA.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</si>
</sst>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3" formatCode="_-* #,##0.00_-;\-* #,##0.00_-;_-* &quot;-&quot;??_-;_-@_-"/>
    <numFmt numFmtId="164" formatCode="0.000000"/>
    <numFmt numFmtId="165" formatCode="&quot;L&quot;#,##0.00"/>
    <numFmt numFmtId="166" formatCode="0.0000%"/>
    <numFmt numFmtId="167" formatCode="0.0000"/>
    <numFmt numFmtId="168" formatCode="0.000%"/>
    <numFmt numFmtId="169" formatCode="[$-F800]dddd\,\ mmmm\ dd\,\ yyyy"/>
  </numFmts>
  <fonts count="15" x14ac:knownFonts="1">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sz val="11"/>
      <color rgb="FF000000"/>
      <name val="Calibri"/>
      <family val="2"/>
    </font>
    <font>
      <b/>
      <sz val="11"/>
      <name val="Calibri"/>
      <family val="2"/>
      <scheme val="minor"/>
    </font>
    <font>
      <b/>
      <sz val="11"/>
      <color theme="0" tint="-0.34998626667073579"/>
      <name val="Calibri"/>
      <family val="2"/>
      <scheme val="minor"/>
    </font>
    <font>
      <sz val="9"/>
      <color theme="0"/>
      <name val="Calibri"/>
      <family val="2"/>
      <scheme val="minor"/>
    </font>
    <font>
      <b/>
      <i/>
      <sz val="8"/>
      <color theme="1"/>
      <name val="Calibri"/>
      <family val="2"/>
      <scheme val="minor"/>
    </font>
    <font>
      <sz val="11"/>
      <name val="Calibri"/>
      <family val="2"/>
      <scheme val="minor"/>
    </font>
    <font>
      <b/>
      <sz val="20"/>
      <name val="Calibri"/>
      <family val="2"/>
      <scheme val="minor"/>
    </font>
    <font>
      <b/>
      <sz val="26"/>
      <color theme="1"/>
      <name val="Calibri"/>
      <family val="2"/>
      <scheme val="minor"/>
    </font>
    <font>
      <sz val="11"/>
      <color theme="0" tint="-0.34998626667073579"/>
      <name val="Calibri"/>
      <family val="2"/>
      <scheme val="minor"/>
    </font>
    <font>
      <b/>
      <sz val="12"/>
      <color theme="0"/>
      <name val="Calibri"/>
      <family val="2"/>
      <scheme val="minor"/>
    </font>
  </fonts>
  <fills count="18">
    <fill>
      <patternFill patternType="none"/>
    </fill>
    <fill>
      <patternFill patternType="gray125"/>
    </fill>
    <fill>
      <patternFill patternType="solid">
        <fgColor theme="0"/>
        <bgColor indexed="64"/>
      </patternFill>
    </fill>
    <fill>
      <patternFill patternType="solid">
        <fgColor theme="0" tint="-0.499984740745262"/>
        <bgColor indexed="64"/>
      </patternFill>
    </fill>
    <fill>
      <patternFill patternType="solid">
        <fgColor theme="0" tint="-0.14999847407452621"/>
        <bgColor indexed="64"/>
      </patternFill>
    </fill>
    <fill>
      <patternFill patternType="solid">
        <fgColor theme="3" tint="-0.499984740745262"/>
        <bgColor indexed="64"/>
      </patternFill>
    </fill>
    <fill>
      <patternFill patternType="solid">
        <fgColor theme="3" tint="-0.249977111117893"/>
        <bgColor indexed="64"/>
      </patternFill>
    </fill>
    <fill>
      <patternFill patternType="solid">
        <fgColor rgb="FFFFC000"/>
        <bgColor indexed="64"/>
      </patternFill>
    </fill>
    <fill>
      <patternFill patternType="solid">
        <fgColor theme="7"/>
        <bgColor indexed="64"/>
      </patternFill>
    </fill>
    <fill>
      <patternFill patternType="solid">
        <fgColor theme="4" tint="0.79998168889431442"/>
        <bgColor indexed="64"/>
      </patternFill>
    </fill>
    <fill>
      <patternFill patternType="solid">
        <fgColor theme="0" tint="-0.34998626667073579"/>
        <bgColor indexed="64"/>
      </patternFill>
    </fill>
    <fill>
      <patternFill patternType="solid">
        <fgColor theme="4" tint="-0.249977111117893"/>
        <bgColor indexed="64"/>
      </patternFill>
    </fill>
    <fill>
      <patternFill patternType="solid">
        <fgColor theme="8"/>
        <bgColor indexed="64"/>
      </patternFill>
    </fill>
    <fill>
      <patternFill patternType="solid">
        <fgColor rgb="FFFF0000"/>
        <bgColor indexed="64"/>
      </patternFill>
    </fill>
    <fill>
      <patternFill patternType="solid">
        <fgColor rgb="FFFFFF00"/>
        <bgColor indexed="64"/>
      </patternFill>
    </fill>
    <fill>
      <patternFill patternType="solid">
        <fgColor theme="5"/>
        <bgColor indexed="64"/>
      </patternFill>
    </fill>
    <fill>
      <patternFill patternType="solid">
        <fgColor theme="9"/>
        <bgColor indexed="64"/>
      </patternFill>
    </fill>
    <fill>
      <patternFill patternType="solid">
        <fgColor theme="4" tint="-0.499984740745262"/>
        <bgColor indexed="64"/>
      </patternFill>
    </fill>
  </fills>
  <borders count="44">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rgb="FF000000"/>
      </bottom>
      <diagonal/>
    </border>
    <border>
      <left/>
      <right style="thin">
        <color rgb="FF000000"/>
      </right>
      <top style="thin">
        <color indexed="64"/>
      </top>
      <bottom style="thin">
        <color rgb="FF000000"/>
      </bottom>
      <diagonal/>
    </border>
    <border>
      <left style="thin">
        <color indexed="64"/>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indexed="64"/>
      </left>
      <right/>
      <top style="thin">
        <color rgb="FF000000"/>
      </top>
      <bottom style="thin">
        <color indexed="64"/>
      </bottom>
      <diagonal/>
    </border>
    <border>
      <left/>
      <right style="thin">
        <color rgb="FF000000"/>
      </right>
      <top style="thin">
        <color rgb="FF000000"/>
      </top>
      <bottom style="thin">
        <color indexed="64"/>
      </bottom>
      <diagonal/>
    </border>
    <border>
      <left style="thin">
        <color indexed="64"/>
      </left>
      <right style="thin">
        <color indexed="64"/>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top style="thin">
        <color indexed="64"/>
      </top>
      <bottom/>
      <diagonal/>
    </border>
    <border>
      <left/>
      <right style="thin">
        <color rgb="FF000000"/>
      </right>
      <top style="thin">
        <color indexed="64"/>
      </top>
      <bottom style="thin">
        <color indexed="64"/>
      </bottom>
      <diagonal/>
    </border>
    <border>
      <left/>
      <right style="medium">
        <color indexed="64"/>
      </right>
      <top/>
      <bottom style="thin">
        <color theme="0"/>
      </bottom>
      <diagonal/>
    </border>
    <border>
      <left style="medium">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s>
  <cellStyleXfs count="3">
    <xf numFmtId="0" fontId="0" fillId="0" borderId="0"/>
    <xf numFmtId="9" fontId="1" fillId="0" borderId="0" applyFont="0" applyFill="0" applyBorder="0" applyAlignment="0" applyProtection="0"/>
    <xf numFmtId="43" fontId="1" fillId="0" borderId="0" applyFont="0" applyFill="0" applyBorder="0" applyAlignment="0" applyProtection="0"/>
  </cellStyleXfs>
  <cellXfs count="154">
    <xf numFmtId="0" fontId="0" fillId="0" borderId="0" xfId="0"/>
    <xf numFmtId="4" fontId="0" fillId="0" borderId="9" xfId="0" applyNumberFormat="1" applyBorder="1" applyAlignment="1" applyProtection="1">
      <alignment horizontal="center" vertical="center"/>
      <protection locked="0"/>
    </xf>
    <xf numFmtId="0" fontId="0" fillId="2" borderId="8" xfId="0" applyFill="1" applyBorder="1" applyAlignment="1">
      <alignment horizontal="right"/>
    </xf>
    <xf numFmtId="0" fontId="0" fillId="2" borderId="1" xfId="0" applyFill="1" applyBorder="1"/>
    <xf numFmtId="0" fontId="0" fillId="2" borderId="2" xfId="0" applyFill="1" applyBorder="1"/>
    <xf numFmtId="0" fontId="0" fillId="2" borderId="3" xfId="0" applyFill="1" applyBorder="1"/>
    <xf numFmtId="0" fontId="0" fillId="2" borderId="4" xfId="0" applyFill="1" applyBorder="1"/>
    <xf numFmtId="0" fontId="0" fillId="2" borderId="0" xfId="0" applyFill="1"/>
    <xf numFmtId="0" fontId="0" fillId="2" borderId="5" xfId="0" applyFill="1" applyBorder="1"/>
    <xf numFmtId="0" fontId="0" fillId="4" borderId="7" xfId="0" applyFill="1" applyBorder="1"/>
    <xf numFmtId="0" fontId="4" fillId="6" borderId="6" xfId="0" applyFont="1" applyFill="1" applyBorder="1"/>
    <xf numFmtId="0" fontId="4" fillId="6" borderId="11" xfId="0" applyFont="1" applyFill="1" applyBorder="1"/>
    <xf numFmtId="0" fontId="3" fillId="7" borderId="12" xfId="0" applyFont="1" applyFill="1" applyBorder="1" applyAlignment="1">
      <alignment horizontal="center"/>
    </xf>
    <xf numFmtId="4" fontId="3" fillId="7" borderId="13" xfId="0" applyNumberFormat="1" applyFont="1" applyFill="1" applyBorder="1"/>
    <xf numFmtId="0" fontId="3" fillId="7" borderId="8" xfId="0" applyFont="1" applyFill="1" applyBorder="1" applyAlignment="1">
      <alignment horizontal="center"/>
    </xf>
    <xf numFmtId="4" fontId="3" fillId="7" borderId="9" xfId="0" applyNumberFormat="1" applyFont="1" applyFill="1" applyBorder="1"/>
    <xf numFmtId="0" fontId="3" fillId="8" borderId="8" xfId="0" applyFont="1" applyFill="1" applyBorder="1" applyAlignment="1">
      <alignment horizontal="center"/>
    </xf>
    <xf numFmtId="4" fontId="3" fillId="8" borderId="9" xfId="0" applyNumberFormat="1" applyFont="1" applyFill="1" applyBorder="1"/>
    <xf numFmtId="0" fontId="0" fillId="4" borderId="8" xfId="0" applyFill="1" applyBorder="1"/>
    <xf numFmtId="0" fontId="4" fillId="6" borderId="20" xfId="0" applyFont="1" applyFill="1" applyBorder="1"/>
    <xf numFmtId="0" fontId="4" fillId="6" borderId="7" xfId="0" applyFont="1" applyFill="1" applyBorder="1" applyAlignment="1">
      <alignment horizontal="left"/>
    </xf>
    <xf numFmtId="165" fontId="0" fillId="2" borderId="0" xfId="0" applyNumberFormat="1" applyFill="1"/>
    <xf numFmtId="0" fontId="0" fillId="2" borderId="21" xfId="0" applyFill="1" applyBorder="1"/>
    <xf numFmtId="0" fontId="0" fillId="2" borderId="22" xfId="0" applyFill="1" applyBorder="1"/>
    <xf numFmtId="0" fontId="0" fillId="2" borderId="23" xfId="0" applyFill="1" applyBorder="1"/>
    <xf numFmtId="0" fontId="0" fillId="10" borderId="0" xfId="0" applyFill="1"/>
    <xf numFmtId="0" fontId="6" fillId="10" borderId="0" xfId="0" applyFont="1" applyFill="1"/>
    <xf numFmtId="0" fontId="7" fillId="10" borderId="0" xfId="0" applyFont="1" applyFill="1"/>
    <xf numFmtId="43" fontId="5" fillId="0" borderId="9" xfId="2" applyFont="1" applyBorder="1" applyAlignment="1" applyProtection="1">
      <alignment horizontal="center" vertical="center" wrapText="1" readingOrder="1"/>
      <protection locked="0"/>
    </xf>
    <xf numFmtId="10" fontId="0" fillId="0" borderId="0" xfId="1" applyNumberFormat="1" applyFont="1" applyAlignment="1">
      <alignment horizontal="center" vertical="center"/>
    </xf>
    <xf numFmtId="0" fontId="0" fillId="15" borderId="0" xfId="0" applyFill="1"/>
    <xf numFmtId="10" fontId="0" fillId="15" borderId="0" xfId="1" applyNumberFormat="1" applyFont="1" applyFill="1" applyAlignment="1">
      <alignment horizontal="center" vertical="center"/>
    </xf>
    <xf numFmtId="0" fontId="0" fillId="8" borderId="0" xfId="0" applyFill="1"/>
    <xf numFmtId="10" fontId="0" fillId="8" borderId="0" xfId="1" applyNumberFormat="1" applyFont="1" applyFill="1" applyAlignment="1">
      <alignment horizontal="center" vertical="center"/>
    </xf>
    <xf numFmtId="0" fontId="0" fillId="16" borderId="0" xfId="0" applyFill="1"/>
    <xf numFmtId="10" fontId="0" fillId="16" borderId="0" xfId="1" applyNumberFormat="1" applyFont="1" applyFill="1" applyAlignment="1">
      <alignment horizontal="center" vertical="center"/>
    </xf>
    <xf numFmtId="0" fontId="0" fillId="12" borderId="0" xfId="0" applyFill="1"/>
    <xf numFmtId="10" fontId="0" fillId="12" borderId="0" xfId="1" applyNumberFormat="1" applyFont="1" applyFill="1" applyAlignment="1">
      <alignment horizontal="center" vertical="center"/>
    </xf>
    <xf numFmtId="0" fontId="0" fillId="0" borderId="0" xfId="0" applyAlignment="1">
      <alignment horizontal="center"/>
    </xf>
    <xf numFmtId="14" fontId="0" fillId="0" borderId="0" xfId="0" applyNumberFormat="1" applyAlignment="1">
      <alignment horizontal="center"/>
    </xf>
    <xf numFmtId="0" fontId="11" fillId="13" borderId="0" xfId="0" applyFont="1" applyFill="1"/>
    <xf numFmtId="168" fontId="11" fillId="13" borderId="0" xfId="1" applyNumberFormat="1" applyFont="1" applyFill="1"/>
    <xf numFmtId="0" fontId="10" fillId="15" borderId="0" xfId="0" applyFont="1" applyFill="1"/>
    <xf numFmtId="10" fontId="10" fillId="15" borderId="0" xfId="1" applyNumberFormat="1" applyFont="1" applyFill="1" applyAlignment="1">
      <alignment horizontal="center" vertical="center"/>
    </xf>
    <xf numFmtId="0" fontId="12" fillId="14" borderId="0" xfId="0" applyFont="1" applyFill="1"/>
    <xf numFmtId="168" fontId="12" fillId="14" borderId="0" xfId="0" applyNumberFormat="1" applyFont="1" applyFill="1"/>
    <xf numFmtId="0" fontId="0" fillId="0" borderId="0" xfId="0" applyAlignment="1">
      <alignment horizontal="center" vertical="center"/>
    </xf>
    <xf numFmtId="43" fontId="0" fillId="0" borderId="0" xfId="2" applyFont="1" applyFill="1" applyBorder="1" applyProtection="1"/>
    <xf numFmtId="0" fontId="3" fillId="7" borderId="8" xfId="0" applyFont="1" applyFill="1" applyBorder="1"/>
    <xf numFmtId="43" fontId="3" fillId="7" borderId="9" xfId="0" applyNumberFormat="1" applyFont="1" applyFill="1" applyBorder="1"/>
    <xf numFmtId="0" fontId="10" fillId="10" borderId="0" xfId="0" applyFont="1" applyFill="1"/>
    <xf numFmtId="0" fontId="3" fillId="10" borderId="0" xfId="0" applyFont="1" applyFill="1"/>
    <xf numFmtId="0" fontId="0" fillId="0" borderId="1" xfId="0" applyBorder="1"/>
    <xf numFmtId="0" fontId="0" fillId="0" borderId="2" xfId="0" applyBorder="1"/>
    <xf numFmtId="0" fontId="0" fillId="0" borderId="3" xfId="0" applyBorder="1"/>
    <xf numFmtId="0" fontId="0" fillId="0" borderId="4" xfId="0" applyBorder="1"/>
    <xf numFmtId="0" fontId="0" fillId="0" borderId="5" xfId="0" applyBorder="1"/>
    <xf numFmtId="0" fontId="3" fillId="0" borderId="29" xfId="0" applyFont="1" applyBorder="1"/>
    <xf numFmtId="0" fontId="3" fillId="0" borderId="5" xfId="0" applyFont="1" applyBorder="1"/>
    <xf numFmtId="0" fontId="0" fillId="0" borderId="21" xfId="0" applyBorder="1"/>
    <xf numFmtId="0" fontId="0" fillId="0" borderId="22" xfId="0" applyBorder="1"/>
    <xf numFmtId="0" fontId="0" fillId="0" borderId="23" xfId="0" applyBorder="1"/>
    <xf numFmtId="43" fontId="3" fillId="7" borderId="31" xfId="0" applyNumberFormat="1" applyFont="1" applyFill="1" applyBorder="1"/>
    <xf numFmtId="0" fontId="3" fillId="7" borderId="33" xfId="0" applyFont="1" applyFill="1" applyBorder="1"/>
    <xf numFmtId="43" fontId="3" fillId="7" borderId="34" xfId="0" applyNumberFormat="1" applyFont="1" applyFill="1" applyBorder="1"/>
    <xf numFmtId="43" fontId="3" fillId="7" borderId="35" xfId="0" applyNumberFormat="1" applyFont="1" applyFill="1" applyBorder="1"/>
    <xf numFmtId="0" fontId="14" fillId="11" borderId="37" xfId="0" applyFont="1" applyFill="1" applyBorder="1" applyAlignment="1">
      <alignment horizontal="center"/>
    </xf>
    <xf numFmtId="0" fontId="2" fillId="11" borderId="30" xfId="0" applyFont="1" applyFill="1" applyBorder="1" applyAlignment="1">
      <alignment horizontal="center"/>
    </xf>
    <xf numFmtId="0" fontId="2" fillId="6" borderId="30" xfId="0" applyFont="1" applyFill="1" applyBorder="1"/>
    <xf numFmtId="0" fontId="2" fillId="6" borderId="32" xfId="0" applyFont="1" applyFill="1" applyBorder="1"/>
    <xf numFmtId="0" fontId="2" fillId="6" borderId="43" xfId="0" applyFont="1" applyFill="1" applyBorder="1"/>
    <xf numFmtId="0" fontId="0" fillId="4" borderId="9" xfId="0" applyFill="1" applyBorder="1"/>
    <xf numFmtId="0" fontId="0" fillId="2" borderId="0" xfId="0" applyFill="1" applyAlignment="1">
      <alignment horizontal="right"/>
    </xf>
    <xf numFmtId="0" fontId="4" fillId="6" borderId="27" xfId="0" applyFont="1" applyFill="1" applyBorder="1"/>
    <xf numFmtId="4" fontId="0" fillId="2" borderId="5" xfId="0" applyNumberFormat="1" applyFill="1" applyBorder="1"/>
    <xf numFmtId="0" fontId="0" fillId="4" borderId="10" xfId="0" applyFill="1" applyBorder="1"/>
    <xf numFmtId="0" fontId="4" fillId="6" borderId="7" xfId="0" applyFont="1" applyFill="1" applyBorder="1"/>
    <xf numFmtId="0" fontId="8" fillId="0" borderId="0" xfId="0" applyFont="1" applyAlignment="1">
      <alignment horizontal="center" vertical="center" textRotation="90"/>
    </xf>
    <xf numFmtId="0" fontId="2" fillId="2" borderId="0" xfId="0" applyFont="1" applyFill="1" applyAlignment="1">
      <alignment horizontal="center" vertical="center"/>
    </xf>
    <xf numFmtId="0" fontId="2" fillId="2" borderId="22" xfId="0" applyFont="1" applyFill="1" applyBorder="1" applyAlignment="1">
      <alignment horizontal="center" vertical="center"/>
    </xf>
    <xf numFmtId="0" fontId="9" fillId="2" borderId="22" xfId="0" applyFont="1" applyFill="1" applyBorder="1"/>
    <xf numFmtId="0" fontId="13" fillId="10" borderId="0" xfId="0" applyFont="1" applyFill="1"/>
    <xf numFmtId="2" fontId="0" fillId="0" borderId="20" xfId="1" applyNumberFormat="1" applyFont="1" applyBorder="1" applyAlignment="1" applyProtection="1">
      <alignment horizontal="center"/>
      <protection locked="0"/>
    </xf>
    <xf numFmtId="0" fontId="2" fillId="3" borderId="6" xfId="0" applyFont="1" applyFill="1" applyBorder="1" applyAlignment="1">
      <alignment horizontal="center" vertical="center"/>
    </xf>
    <xf numFmtId="0" fontId="2" fillId="3" borderId="11" xfId="0" applyFont="1" applyFill="1" applyBorder="1" applyAlignment="1">
      <alignment horizontal="center" vertical="center"/>
    </xf>
    <xf numFmtId="0" fontId="2" fillId="3" borderId="20" xfId="0" applyFont="1" applyFill="1" applyBorder="1" applyAlignment="1">
      <alignment horizontal="center" vertical="center"/>
    </xf>
    <xf numFmtId="0" fontId="3" fillId="2" borderId="8" xfId="0" applyFont="1" applyFill="1" applyBorder="1" applyAlignment="1" applyProtection="1">
      <alignment horizontal="center"/>
      <protection locked="0"/>
    </xf>
    <xf numFmtId="0" fontId="3" fillId="2" borderId="9" xfId="0" applyFont="1" applyFill="1" applyBorder="1" applyAlignment="1" applyProtection="1">
      <alignment horizontal="center"/>
      <protection locked="0"/>
    </xf>
    <xf numFmtId="0" fontId="2" fillId="5" borderId="8" xfId="0" applyFont="1" applyFill="1" applyBorder="1" applyAlignment="1">
      <alignment horizontal="center" vertical="center"/>
    </xf>
    <xf numFmtId="3" fontId="3" fillId="7" borderId="10" xfId="0" applyNumberFormat="1" applyFont="1" applyFill="1" applyBorder="1" applyAlignment="1">
      <alignment horizontal="center" vertical="center"/>
    </xf>
    <xf numFmtId="3" fontId="3" fillId="7" borderId="9" xfId="0" applyNumberFormat="1" applyFont="1" applyFill="1" applyBorder="1" applyAlignment="1">
      <alignment horizontal="center" vertical="center"/>
    </xf>
    <xf numFmtId="14" fontId="5" fillId="0" borderId="14" xfId="0" applyNumberFormat="1" applyFont="1" applyBorder="1" applyAlignment="1" applyProtection="1">
      <alignment horizontal="center" wrapText="1" readingOrder="1"/>
      <protection locked="0"/>
    </xf>
    <xf numFmtId="14" fontId="5" fillId="0" borderId="15" xfId="0" applyNumberFormat="1" applyFont="1" applyBorder="1" applyAlignment="1" applyProtection="1">
      <alignment horizontal="center" wrapText="1" readingOrder="1"/>
      <protection locked="0"/>
    </xf>
    <xf numFmtId="14" fontId="5" fillId="0" borderId="16" xfId="0" applyNumberFormat="1" applyFont="1" applyBorder="1" applyAlignment="1" applyProtection="1">
      <alignment horizontal="center" wrapText="1" readingOrder="1"/>
      <protection locked="0"/>
    </xf>
    <xf numFmtId="14" fontId="5" fillId="0" borderId="17" xfId="0" applyNumberFormat="1" applyFont="1" applyBorder="1" applyAlignment="1" applyProtection="1">
      <alignment horizontal="center" wrapText="1" readingOrder="1"/>
      <protection locked="0"/>
    </xf>
    <xf numFmtId="14" fontId="5" fillId="0" borderId="18" xfId="0" applyNumberFormat="1" applyFont="1" applyBorder="1" applyAlignment="1" applyProtection="1">
      <alignment horizontal="center" wrapText="1" readingOrder="1"/>
      <protection locked="0"/>
    </xf>
    <xf numFmtId="14" fontId="5" fillId="0" borderId="19" xfId="0" applyNumberFormat="1" applyFont="1" applyBorder="1" applyAlignment="1" applyProtection="1">
      <alignment horizontal="center" wrapText="1" readingOrder="1"/>
      <protection locked="0"/>
    </xf>
    <xf numFmtId="0" fontId="0" fillId="0" borderId="7" xfId="0" applyBorder="1" applyAlignment="1" applyProtection="1">
      <alignment horizontal="center"/>
      <protection locked="0"/>
    </xf>
    <xf numFmtId="10" fontId="0" fillId="0" borderId="7" xfId="1" applyNumberFormat="1" applyFont="1" applyBorder="1" applyAlignment="1" applyProtection="1">
      <alignment horizontal="center"/>
      <protection locked="0"/>
    </xf>
    <xf numFmtId="0" fontId="0" fillId="0" borderId="7" xfId="0" applyBorder="1" applyAlignment="1" applyProtection="1">
      <alignment horizontal="center" vertical="center"/>
      <protection locked="0"/>
    </xf>
    <xf numFmtId="0" fontId="0" fillId="0" borderId="6" xfId="0" applyBorder="1" applyAlignment="1" applyProtection="1">
      <alignment horizontal="center" vertical="center"/>
      <protection locked="0"/>
    </xf>
    <xf numFmtId="0" fontId="0" fillId="2" borderId="8" xfId="0" applyFill="1" applyBorder="1" applyAlignment="1" applyProtection="1">
      <alignment horizontal="center"/>
      <protection locked="0"/>
    </xf>
    <xf numFmtId="0" fontId="0" fillId="2" borderId="9" xfId="0" applyFill="1" applyBorder="1" applyAlignment="1" applyProtection="1">
      <alignment horizontal="center"/>
      <protection locked="0"/>
    </xf>
    <xf numFmtId="0" fontId="2" fillId="5" borderId="7" xfId="0" applyFont="1" applyFill="1" applyBorder="1" applyAlignment="1">
      <alignment horizontal="center" vertical="center"/>
    </xf>
    <xf numFmtId="164" fontId="3" fillId="9" borderId="7" xfId="0" applyNumberFormat="1" applyFont="1" applyFill="1" applyBorder="1" applyAlignment="1">
      <alignment horizontal="center"/>
    </xf>
    <xf numFmtId="10" fontId="0" fillId="0" borderId="20" xfId="1" applyNumberFormat="1" applyFont="1" applyFill="1" applyBorder="1" applyAlignment="1" applyProtection="1">
      <alignment horizontal="center"/>
      <protection locked="0"/>
    </xf>
    <xf numFmtId="0" fontId="0" fillId="0" borderId="7" xfId="1" applyNumberFormat="1" applyFont="1" applyFill="1" applyBorder="1" applyAlignment="1" applyProtection="1">
      <alignment horizontal="center"/>
      <protection locked="0"/>
    </xf>
    <xf numFmtId="164" fontId="0" fillId="0" borderId="7" xfId="0" applyNumberFormat="1" applyBorder="1" applyAlignment="1" applyProtection="1">
      <alignment horizontal="center"/>
      <protection locked="0"/>
    </xf>
    <xf numFmtId="1" fontId="0" fillId="0" borderId="7" xfId="1" applyNumberFormat="1" applyFont="1" applyFill="1" applyBorder="1" applyAlignment="1" applyProtection="1">
      <alignment horizontal="center"/>
      <protection locked="0"/>
    </xf>
    <xf numFmtId="0" fontId="2" fillId="11" borderId="12" xfId="0" applyFont="1" applyFill="1" applyBorder="1" applyAlignment="1">
      <alignment horizontal="center"/>
    </xf>
    <xf numFmtId="0" fontId="2" fillId="11" borderId="13" xfId="0" applyFont="1" applyFill="1" applyBorder="1" applyAlignment="1">
      <alignment horizontal="center"/>
    </xf>
    <xf numFmtId="166" fontId="3" fillId="7" borderId="8" xfId="1" applyNumberFormat="1" applyFont="1" applyFill="1" applyBorder="1" applyAlignment="1" applyProtection="1">
      <alignment horizontal="center" vertical="center"/>
    </xf>
    <xf numFmtId="166" fontId="3" fillId="7" borderId="9" xfId="1" applyNumberFormat="1" applyFont="1" applyFill="1" applyBorder="1" applyAlignment="1" applyProtection="1">
      <alignment horizontal="center" vertical="center"/>
    </xf>
    <xf numFmtId="0" fontId="3" fillId="2" borderId="7" xfId="0" applyFont="1" applyFill="1" applyBorder="1" applyAlignment="1">
      <alignment horizontal="center"/>
    </xf>
    <xf numFmtId="0" fontId="3" fillId="7" borderId="8" xfId="0" applyFont="1" applyFill="1" applyBorder="1" applyAlignment="1">
      <alignment horizontal="center"/>
    </xf>
    <xf numFmtId="0" fontId="3" fillId="7" borderId="9" xfId="0" applyFont="1" applyFill="1" applyBorder="1" applyAlignment="1">
      <alignment horizontal="center"/>
    </xf>
    <xf numFmtId="0" fontId="8" fillId="12" borderId="24" xfId="0" applyFont="1" applyFill="1" applyBorder="1" applyAlignment="1">
      <alignment horizontal="center" vertical="center" textRotation="90"/>
    </xf>
    <xf numFmtId="0" fontId="8" fillId="12" borderId="25" xfId="0" applyFont="1" applyFill="1" applyBorder="1" applyAlignment="1">
      <alignment horizontal="center" vertical="center" textRotation="90"/>
    </xf>
    <xf numFmtId="0" fontId="8" fillId="12" borderId="26" xfId="0" applyFont="1" applyFill="1" applyBorder="1" applyAlignment="1">
      <alignment horizontal="center" vertical="center" textRotation="90"/>
    </xf>
    <xf numFmtId="167" fontId="0" fillId="0" borderId="8" xfId="1" applyNumberFormat="1" applyFont="1" applyBorder="1" applyAlignment="1" applyProtection="1">
      <alignment horizontal="center"/>
      <protection locked="0"/>
    </xf>
    <xf numFmtId="167" fontId="0" fillId="0" borderId="9" xfId="1" applyNumberFormat="1" applyFont="1" applyBorder="1" applyAlignment="1" applyProtection="1">
      <alignment horizontal="center"/>
      <protection locked="0"/>
    </xf>
    <xf numFmtId="0" fontId="8" fillId="11" borderId="24" xfId="0" applyFont="1" applyFill="1" applyBorder="1" applyAlignment="1">
      <alignment horizontal="center" vertical="center" textRotation="90"/>
    </xf>
    <xf numFmtId="0" fontId="8" fillId="11" borderId="25" xfId="0" applyFont="1" applyFill="1" applyBorder="1" applyAlignment="1">
      <alignment horizontal="center" vertical="center" textRotation="90"/>
    </xf>
    <xf numFmtId="14" fontId="5" fillId="0" borderId="8" xfId="0" applyNumberFormat="1" applyFont="1" applyBorder="1" applyAlignment="1" applyProtection="1">
      <alignment horizontal="center" wrapText="1" readingOrder="1"/>
      <protection locked="0"/>
    </xf>
    <xf numFmtId="14" fontId="5" fillId="0" borderId="28" xfId="0" applyNumberFormat="1" applyFont="1" applyBorder="1" applyAlignment="1" applyProtection="1">
      <alignment horizontal="center" wrapText="1" readingOrder="1"/>
      <protection locked="0"/>
    </xf>
    <xf numFmtId="2" fontId="0" fillId="0" borderId="8" xfId="1" applyNumberFormat="1" applyFont="1" applyBorder="1" applyAlignment="1" applyProtection="1">
      <alignment horizontal="center"/>
      <protection locked="0"/>
    </xf>
    <xf numFmtId="2" fontId="0" fillId="0" borderId="9" xfId="1" applyNumberFormat="1" applyFont="1" applyBorder="1" applyAlignment="1" applyProtection="1">
      <alignment horizontal="center"/>
      <protection locked="0"/>
    </xf>
    <xf numFmtId="166" fontId="0" fillId="0" borderId="8" xfId="1" applyNumberFormat="1" applyFont="1" applyBorder="1" applyAlignment="1" applyProtection="1">
      <alignment horizontal="center"/>
      <protection locked="0"/>
    </xf>
    <xf numFmtId="166" fontId="0" fillId="0" borderId="9" xfId="1" applyNumberFormat="1" applyFont="1" applyBorder="1" applyAlignment="1" applyProtection="1">
      <alignment horizontal="center"/>
      <protection locked="0"/>
    </xf>
    <xf numFmtId="166" fontId="0" fillId="0" borderId="8" xfId="1" applyNumberFormat="1" applyFont="1" applyFill="1" applyBorder="1" applyAlignment="1" applyProtection="1">
      <alignment horizontal="center"/>
      <protection locked="0"/>
    </xf>
    <xf numFmtId="166" fontId="0" fillId="0" borderId="9" xfId="1" applyNumberFormat="1" applyFont="1" applyFill="1" applyBorder="1" applyAlignment="1" applyProtection="1">
      <alignment horizontal="center"/>
      <protection locked="0"/>
    </xf>
    <xf numFmtId="0" fontId="0" fillId="0" borderId="8" xfId="0" applyBorder="1" applyAlignment="1" applyProtection="1">
      <alignment horizontal="center" vertical="center"/>
      <protection locked="0"/>
    </xf>
    <xf numFmtId="0" fontId="0" fillId="0" borderId="9" xfId="0" applyBorder="1" applyAlignment="1" applyProtection="1">
      <alignment horizontal="center" vertical="center"/>
      <protection locked="0"/>
    </xf>
    <xf numFmtId="0" fontId="0" fillId="0" borderId="8" xfId="0" applyBorder="1" applyAlignment="1" applyProtection="1">
      <alignment horizontal="center"/>
      <protection locked="0"/>
    </xf>
    <xf numFmtId="0" fontId="0" fillId="0" borderId="9" xfId="0" applyBorder="1" applyAlignment="1" applyProtection="1">
      <alignment horizontal="center"/>
      <protection locked="0"/>
    </xf>
    <xf numFmtId="10" fontId="0" fillId="0" borderId="8" xfId="1" applyNumberFormat="1" applyFont="1" applyBorder="1" applyAlignment="1" applyProtection="1">
      <alignment horizontal="center"/>
      <protection locked="0"/>
    </xf>
    <xf numFmtId="10" fontId="0" fillId="0" borderId="9" xfId="1" applyNumberFormat="1" applyFont="1" applyBorder="1" applyAlignment="1" applyProtection="1">
      <alignment horizontal="center"/>
      <protection locked="0"/>
    </xf>
    <xf numFmtId="0" fontId="9" fillId="2" borderId="36" xfId="0" applyFont="1" applyFill="1" applyBorder="1" applyAlignment="1">
      <alignment horizontal="left" wrapText="1"/>
    </xf>
    <xf numFmtId="0" fontId="9" fillId="2" borderId="0" xfId="0" applyFont="1" applyFill="1" applyAlignment="1">
      <alignment horizontal="left" wrapText="1"/>
    </xf>
    <xf numFmtId="169" fontId="3" fillId="7" borderId="8" xfId="1" applyNumberFormat="1" applyFont="1" applyFill="1" applyBorder="1" applyAlignment="1" applyProtection="1">
      <alignment horizontal="center" vertical="center"/>
    </xf>
    <xf numFmtId="169" fontId="3" fillId="7" borderId="9" xfId="1" applyNumberFormat="1" applyFont="1" applyFill="1" applyBorder="1" applyAlignment="1" applyProtection="1">
      <alignment horizontal="center" vertical="center"/>
    </xf>
    <xf numFmtId="0" fontId="2" fillId="17" borderId="37" xfId="0" applyFont="1" applyFill="1" applyBorder="1" applyAlignment="1">
      <alignment horizontal="center"/>
    </xf>
    <xf numFmtId="0" fontId="2" fillId="17" borderId="38" xfId="0" applyFont="1" applyFill="1" applyBorder="1" applyAlignment="1">
      <alignment horizontal="center"/>
    </xf>
    <xf numFmtId="0" fontId="2" fillId="17" borderId="39" xfId="0" applyFont="1" applyFill="1" applyBorder="1" applyAlignment="1">
      <alignment horizontal="center"/>
    </xf>
    <xf numFmtId="0" fontId="2" fillId="11" borderId="6" xfId="0" applyFont="1" applyFill="1" applyBorder="1" applyAlignment="1">
      <alignment horizontal="center"/>
    </xf>
    <xf numFmtId="0" fontId="2" fillId="11" borderId="7" xfId="0" applyFont="1" applyFill="1" applyBorder="1" applyAlignment="1">
      <alignment horizontal="center"/>
    </xf>
    <xf numFmtId="0" fontId="2" fillId="11" borderId="40" xfId="0" applyFont="1" applyFill="1" applyBorder="1" applyAlignment="1">
      <alignment horizontal="center"/>
    </xf>
    <xf numFmtId="166" fontId="3" fillId="7" borderId="7" xfId="0" applyNumberFormat="1" applyFont="1" applyFill="1" applyBorder="1" applyAlignment="1">
      <alignment horizontal="center"/>
    </xf>
    <xf numFmtId="166" fontId="3" fillId="7" borderId="40" xfId="0" applyNumberFormat="1" applyFont="1" applyFill="1" applyBorder="1" applyAlignment="1">
      <alignment horizontal="center"/>
    </xf>
    <xf numFmtId="0" fontId="14" fillId="11" borderId="38" xfId="0" applyFont="1" applyFill="1" applyBorder="1" applyAlignment="1">
      <alignment horizontal="center"/>
    </xf>
    <xf numFmtId="0" fontId="14" fillId="11" borderId="39" xfId="0" applyFont="1" applyFill="1" applyBorder="1" applyAlignment="1">
      <alignment horizontal="center"/>
    </xf>
    <xf numFmtId="166" fontId="3" fillId="7" borderId="41" xfId="0" applyNumberFormat="1" applyFont="1" applyFill="1" applyBorder="1" applyAlignment="1">
      <alignment horizontal="center"/>
    </xf>
    <xf numFmtId="166" fontId="3" fillId="7" borderId="42" xfId="0" applyNumberFormat="1" applyFont="1" applyFill="1" applyBorder="1" applyAlignment="1">
      <alignment horizontal="center"/>
    </xf>
    <xf numFmtId="0" fontId="3" fillId="0" borderId="0" xfId="0" applyFont="1" applyAlignment="1">
      <alignment horizontal="left" vertical="top" wrapText="1"/>
    </xf>
  </cellXfs>
  <cellStyles count="3">
    <cellStyle name="Millares" xfId="2" builtinId="3"/>
    <cellStyle name="Normal" xfId="0" builtinId="0"/>
    <cellStyle name="Porcentaje" xfId="1" builtinId="5"/>
  </cellStyles>
  <dxfs count="2">
    <dxf>
      <font>
        <color rgb="FF9C0006"/>
      </font>
      <fill>
        <patternFill>
          <bgColor rgb="FFFFC7CE"/>
        </patternFill>
      </fill>
    </dxf>
    <dxf>
      <font>
        <color rgb="FF006100"/>
      </font>
      <fill>
        <patternFill>
          <bgColor rgb="FFC6EF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17/10/relationships/person" Target="persons/perso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1</xdr:col>
      <xdr:colOff>182146</xdr:colOff>
      <xdr:row>1</xdr:row>
      <xdr:rowOff>95250</xdr:rowOff>
    </xdr:from>
    <xdr:ext cx="4080711" cy="538545"/>
    <xdr:sp macro="" textlink="">
      <xdr:nvSpPr>
        <xdr:cNvPr id="2" name="Rectángulo 1">
          <a:extLst>
            <a:ext uri="{FF2B5EF4-FFF2-40B4-BE49-F238E27FC236}">
              <a16:creationId xmlns:a16="http://schemas.microsoft.com/office/drawing/2014/main" id="{F8CA4315-C0E5-457D-BEF6-2FA68AEC158C}"/>
            </a:ext>
          </a:extLst>
        </xdr:cNvPr>
        <xdr:cNvSpPr/>
      </xdr:nvSpPr>
      <xdr:spPr>
        <a:xfrm>
          <a:off x="387886" y="285750"/>
          <a:ext cx="4080711" cy="538545"/>
        </a:xfrm>
        <a:prstGeom prst="rect">
          <a:avLst/>
        </a:prstGeom>
        <a:noFill/>
      </xdr:spPr>
      <xdr:txBody>
        <a:bodyPr wrap="square" lIns="91440" tIns="45720" rIns="91440" bIns="45720">
          <a:spAutoFit/>
        </a:bodyPr>
        <a:lstStyle/>
        <a:p>
          <a:pPr algn="l"/>
          <a:r>
            <a:rPr lang="es-ES" sz="1800" b="1" i="1" cap="none" spc="0">
              <a:ln w="0"/>
              <a:solidFill>
                <a:schemeClr val="tx1"/>
              </a:solidFill>
              <a:effectLst>
                <a:outerShdw blurRad="38100" dist="19050" dir="2700000" algn="tl" rotWithShape="0">
                  <a:schemeClr val="dk1">
                    <a:alpha val="40000"/>
                  </a:schemeClr>
                </a:outerShdw>
              </a:effectLst>
            </a:rPr>
            <a:t>Calculadora</a:t>
          </a:r>
          <a:r>
            <a:rPr lang="es-ES" sz="1800" b="1" i="1" cap="none" spc="0" baseline="0">
              <a:ln w="0"/>
              <a:solidFill>
                <a:schemeClr val="tx1"/>
              </a:solidFill>
              <a:effectLst>
                <a:outerShdw blurRad="38100" dist="19050" dir="2700000" algn="tl" rotWithShape="0">
                  <a:schemeClr val="dk1">
                    <a:alpha val="40000"/>
                  </a:schemeClr>
                </a:outerShdw>
              </a:effectLst>
            </a:rPr>
            <a:t> Bursátil</a:t>
          </a:r>
        </a:p>
        <a:p>
          <a:pPr algn="l"/>
          <a:r>
            <a:rPr lang="es-ES" sz="1050" b="0" i="0" cap="none" spc="0" baseline="0">
              <a:ln>
                <a:noFill/>
              </a:ln>
              <a:solidFill>
                <a:schemeClr val="tx1"/>
              </a:solidFill>
              <a:effectLst/>
              <a:latin typeface="+mn-lt"/>
            </a:rPr>
            <a:t>Bolsa Centroamericana de Valores S.A.</a:t>
          </a:r>
          <a:endParaRPr lang="es-ES" sz="1050" b="0" i="0" cap="none" spc="0">
            <a:ln>
              <a:noFill/>
            </a:ln>
            <a:solidFill>
              <a:schemeClr val="tx1"/>
            </a:solidFill>
            <a:effectLst/>
            <a:latin typeface="+mn-lt"/>
          </a:endParaRPr>
        </a:p>
      </xdr:txBody>
    </xdr:sp>
    <xdr:clientData/>
  </xdr:oneCellAnchor>
  <xdr:twoCellAnchor editAs="oneCell">
    <xdr:from>
      <xdr:col>10</xdr:col>
      <xdr:colOff>1176695</xdr:colOff>
      <xdr:row>1</xdr:row>
      <xdr:rowOff>145589</xdr:rowOff>
    </xdr:from>
    <xdr:to>
      <xdr:col>11</xdr:col>
      <xdr:colOff>558857</xdr:colOff>
      <xdr:row>3</xdr:row>
      <xdr:rowOff>97637</xdr:rowOff>
    </xdr:to>
    <xdr:pic>
      <xdr:nvPicPr>
        <xdr:cNvPr id="3" name="Imagen 2">
          <a:extLst>
            <a:ext uri="{FF2B5EF4-FFF2-40B4-BE49-F238E27FC236}">
              <a16:creationId xmlns:a16="http://schemas.microsoft.com/office/drawing/2014/main" id="{CF29EF15-77A9-4DEF-AE56-A2CF3AD4C103}"/>
            </a:ext>
          </a:extLst>
        </xdr:cNvPr>
        <xdr:cNvPicPr>
          <a:picLocks noChangeAspect="1"/>
        </xdr:cNvPicPr>
      </xdr:nvPicPr>
      <xdr:blipFill>
        <a:blip xmlns:r="http://schemas.openxmlformats.org/officeDocument/2006/relationships" r:embed="rId1"/>
        <a:stretch>
          <a:fillRect/>
        </a:stretch>
      </xdr:blipFill>
      <xdr:spPr>
        <a:xfrm>
          <a:off x="11219855" y="336089"/>
          <a:ext cx="1584342" cy="31780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1</xdr:col>
      <xdr:colOff>182146</xdr:colOff>
      <xdr:row>1</xdr:row>
      <xdr:rowOff>95250</xdr:rowOff>
    </xdr:from>
    <xdr:ext cx="5715734" cy="538545"/>
    <xdr:sp macro="" textlink="">
      <xdr:nvSpPr>
        <xdr:cNvPr id="2" name="Rectángulo 1">
          <a:extLst>
            <a:ext uri="{FF2B5EF4-FFF2-40B4-BE49-F238E27FC236}">
              <a16:creationId xmlns:a16="http://schemas.microsoft.com/office/drawing/2014/main" id="{A4BFDCD3-82E7-4917-940E-DB40FDD9A67E}"/>
            </a:ext>
          </a:extLst>
        </xdr:cNvPr>
        <xdr:cNvSpPr/>
      </xdr:nvSpPr>
      <xdr:spPr>
        <a:xfrm>
          <a:off x="386934" y="285750"/>
          <a:ext cx="5715734" cy="538545"/>
        </a:xfrm>
        <a:prstGeom prst="rect">
          <a:avLst/>
        </a:prstGeom>
        <a:noFill/>
      </xdr:spPr>
      <xdr:txBody>
        <a:bodyPr wrap="square" lIns="91440" tIns="45720" rIns="91440" bIns="45720">
          <a:spAutoFit/>
        </a:bodyPr>
        <a:lstStyle/>
        <a:p>
          <a:pPr algn="l"/>
          <a:r>
            <a:rPr lang="es-ES" sz="1800" b="1" i="1" cap="none" spc="0">
              <a:ln w="0"/>
              <a:solidFill>
                <a:schemeClr val="tx1"/>
              </a:solidFill>
              <a:effectLst>
                <a:outerShdw blurRad="38100" dist="19050" dir="2700000" algn="tl" rotWithShape="0">
                  <a:schemeClr val="dk1">
                    <a:alpha val="40000"/>
                  </a:schemeClr>
                </a:outerShdw>
              </a:effectLst>
            </a:rPr>
            <a:t>Calculadora</a:t>
          </a:r>
          <a:r>
            <a:rPr lang="es-ES" sz="1800" b="1" i="1" cap="none" spc="0" baseline="0">
              <a:ln w="0"/>
              <a:solidFill>
                <a:schemeClr val="tx1"/>
              </a:solidFill>
              <a:effectLst>
                <a:outerShdw blurRad="38100" dist="19050" dir="2700000" algn="tl" rotWithShape="0">
                  <a:schemeClr val="dk1">
                    <a:alpha val="40000"/>
                  </a:schemeClr>
                </a:outerShdw>
              </a:effectLst>
            </a:rPr>
            <a:t> Bursátil para Operaciones de Reporto</a:t>
          </a:r>
        </a:p>
        <a:p>
          <a:pPr algn="l"/>
          <a:r>
            <a:rPr lang="es-ES" sz="1050" b="0" i="0" cap="none" spc="0" baseline="0">
              <a:ln>
                <a:noFill/>
              </a:ln>
              <a:solidFill>
                <a:schemeClr val="tx1"/>
              </a:solidFill>
              <a:effectLst/>
              <a:latin typeface="+mn-lt"/>
            </a:rPr>
            <a:t>Bolsa Centroamericana de Valores S.A.</a:t>
          </a:r>
          <a:endParaRPr lang="es-ES" sz="1050" b="0" i="0" cap="none" spc="0">
            <a:ln>
              <a:noFill/>
            </a:ln>
            <a:solidFill>
              <a:schemeClr val="tx1"/>
            </a:solidFill>
            <a:effectLst/>
            <a:latin typeface="+mn-lt"/>
          </a:endParaRPr>
        </a:p>
      </xdr:txBody>
    </xdr:sp>
    <xdr:clientData/>
  </xdr:oneCellAnchor>
  <xdr:twoCellAnchor editAs="oneCell">
    <xdr:from>
      <xdr:col>9</xdr:col>
      <xdr:colOff>982605</xdr:colOff>
      <xdr:row>1</xdr:row>
      <xdr:rowOff>121294</xdr:rowOff>
    </xdr:from>
    <xdr:to>
      <xdr:col>10</xdr:col>
      <xdr:colOff>651068</xdr:colOff>
      <xdr:row>3</xdr:row>
      <xdr:rowOff>71962</xdr:rowOff>
    </xdr:to>
    <xdr:pic>
      <xdr:nvPicPr>
        <xdr:cNvPr id="3" name="Imagen 2">
          <a:extLst>
            <a:ext uri="{FF2B5EF4-FFF2-40B4-BE49-F238E27FC236}">
              <a16:creationId xmlns:a16="http://schemas.microsoft.com/office/drawing/2014/main" id="{AA8E8CA3-1B85-4912-992E-3004EC9B830D}"/>
            </a:ext>
          </a:extLst>
        </xdr:cNvPr>
        <xdr:cNvPicPr>
          <a:picLocks noChangeAspect="1"/>
        </xdr:cNvPicPr>
      </xdr:nvPicPr>
      <xdr:blipFill>
        <a:blip xmlns:r="http://schemas.openxmlformats.org/officeDocument/2006/relationships" r:embed="rId1"/>
        <a:stretch>
          <a:fillRect/>
        </a:stretch>
      </xdr:blipFill>
      <xdr:spPr>
        <a:xfrm>
          <a:off x="10685405" y="311794"/>
          <a:ext cx="1579813" cy="318968"/>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oneCellAnchor>
    <xdr:from>
      <xdr:col>1</xdr:col>
      <xdr:colOff>152400</xdr:colOff>
      <xdr:row>1</xdr:row>
      <xdr:rowOff>66259</xdr:rowOff>
    </xdr:from>
    <xdr:ext cx="4764157" cy="530658"/>
    <xdr:sp macro="" textlink="">
      <xdr:nvSpPr>
        <xdr:cNvPr id="2" name="Rectángulo 1">
          <a:extLst>
            <a:ext uri="{FF2B5EF4-FFF2-40B4-BE49-F238E27FC236}">
              <a16:creationId xmlns:a16="http://schemas.microsoft.com/office/drawing/2014/main" id="{E30DC95C-7AE2-430B-A138-68F8EC876730}"/>
            </a:ext>
          </a:extLst>
        </xdr:cNvPr>
        <xdr:cNvSpPr/>
      </xdr:nvSpPr>
      <xdr:spPr>
        <a:xfrm>
          <a:off x="490330" y="258416"/>
          <a:ext cx="4764157" cy="530658"/>
        </a:xfrm>
        <a:prstGeom prst="rect">
          <a:avLst/>
        </a:prstGeom>
        <a:noFill/>
      </xdr:spPr>
      <xdr:txBody>
        <a:bodyPr wrap="square" lIns="91440" tIns="45720" rIns="91440" bIns="45720">
          <a:spAutoFit/>
        </a:bodyPr>
        <a:lstStyle/>
        <a:p>
          <a:pPr algn="l"/>
          <a:r>
            <a:rPr lang="es-ES" sz="1400" b="1" i="1" cap="none" spc="0">
              <a:ln w="0"/>
              <a:solidFill>
                <a:schemeClr val="tx1"/>
              </a:solidFill>
              <a:effectLst>
                <a:outerShdw blurRad="38100" dist="19050" dir="2700000" algn="tl" rotWithShape="0">
                  <a:schemeClr val="dk1">
                    <a:alpha val="40000"/>
                  </a:schemeClr>
                </a:outerShdw>
              </a:effectLst>
            </a:rPr>
            <a:t>Calculadora</a:t>
          </a:r>
          <a:r>
            <a:rPr lang="es-ES" sz="1400" b="1" i="1" cap="none" spc="0" baseline="0">
              <a:ln w="0"/>
              <a:solidFill>
                <a:schemeClr val="tx1"/>
              </a:solidFill>
              <a:effectLst>
                <a:outerShdw blurRad="38100" dist="19050" dir="2700000" algn="tl" rotWithShape="0">
                  <a:schemeClr val="dk1">
                    <a:alpha val="40000"/>
                  </a:schemeClr>
                </a:outerShdw>
              </a:effectLst>
            </a:rPr>
            <a:t> Servicios de Liquidación y Custodia para Operaciones de Reporto</a:t>
          </a:r>
          <a:r>
            <a:rPr lang="es-ES" sz="1050" b="0" i="0" cap="none" spc="0" baseline="0">
              <a:ln>
                <a:noFill/>
              </a:ln>
              <a:solidFill>
                <a:schemeClr val="tx1"/>
              </a:solidFill>
              <a:effectLst/>
              <a:latin typeface="+mn-lt"/>
            </a:rPr>
            <a:t>.</a:t>
          </a:r>
          <a:endParaRPr lang="es-ES" sz="1400" b="1" i="1" cap="none" spc="0" baseline="0">
            <a:ln w="0"/>
            <a:solidFill>
              <a:schemeClr val="tx1"/>
            </a:solidFill>
            <a:effectLst>
              <a:outerShdw blurRad="38100" dist="19050" dir="2700000" algn="tl" rotWithShape="0">
                <a:schemeClr val="dk1">
                  <a:alpha val="40000"/>
                </a:schemeClr>
              </a:outerShdw>
            </a:effectLst>
          </a:endParaRPr>
        </a:p>
      </xdr:txBody>
    </xdr:sp>
    <xdr:clientData/>
  </xdr:oneCellAnchor>
  <xdr:twoCellAnchor editAs="oneCell">
    <xdr:from>
      <xdr:col>4</xdr:col>
      <xdr:colOff>993913</xdr:colOff>
      <xdr:row>2</xdr:row>
      <xdr:rowOff>0</xdr:rowOff>
    </xdr:from>
    <xdr:to>
      <xdr:col>6</xdr:col>
      <xdr:colOff>890212</xdr:colOff>
      <xdr:row>3</xdr:row>
      <xdr:rowOff>128553</xdr:rowOff>
    </xdr:to>
    <xdr:pic>
      <xdr:nvPicPr>
        <xdr:cNvPr id="3" name="Imagen 2">
          <a:extLst>
            <a:ext uri="{FF2B5EF4-FFF2-40B4-BE49-F238E27FC236}">
              <a16:creationId xmlns:a16="http://schemas.microsoft.com/office/drawing/2014/main" id="{A228DE93-F1DE-4E12-AA9B-B8EF41A0E024}"/>
            </a:ext>
          </a:extLst>
        </xdr:cNvPr>
        <xdr:cNvPicPr>
          <a:picLocks noChangeAspect="1"/>
        </xdr:cNvPicPr>
      </xdr:nvPicPr>
      <xdr:blipFill>
        <a:blip xmlns:r="http://schemas.openxmlformats.org/officeDocument/2006/relationships" r:embed="rId1"/>
        <a:stretch>
          <a:fillRect/>
        </a:stretch>
      </xdr:blipFill>
      <xdr:spPr>
        <a:xfrm>
          <a:off x="5546035" y="377687"/>
          <a:ext cx="1579325" cy="314083"/>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Dennis Rodriguez" id="{8AED37C5-EFEC-47F1-914B-FEE05B7D4AEA}" userId="S::drodriguez@bcv.hn::15e8cd56-ab48-4c0d-83a6-22d1638e12ac" providerId="AD"/>
</personList>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D24" dT="2025-06-03T21:04:46.27" personId="{8AED37C5-EFEC-47F1-914B-FEE05B7D4AEA}" id="{849EE575-A043-48BE-A119-9AB15BB9CDFC}">
    <text>Nota: Tipo de Cambio de Venta de BCH del día de la Operación.</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9E399D-C27C-4B29-9114-D1028B7AA7A2}">
  <sheetPr>
    <tabColor rgb="FFC00000"/>
    <pageSetUpPr fitToPage="1"/>
  </sheetPr>
  <dimension ref="A1:U30"/>
  <sheetViews>
    <sheetView showGridLines="0" showRowColHeaders="0" tabSelected="1" zoomScaleNormal="100" workbookViewId="0">
      <selection activeCell="E8" sqref="E8:F8"/>
    </sheetView>
  </sheetViews>
  <sheetFormatPr baseColWidth="10" defaultColWidth="11.5703125" defaultRowHeight="15" x14ac:dyDescent="0.25"/>
  <cols>
    <col min="1" max="1" width="3" style="25" customWidth="1"/>
    <col min="2" max="3" width="11.5703125" style="25"/>
    <col min="4" max="4" width="32.140625" style="25" bestFit="1" customWidth="1"/>
    <col min="5" max="5" width="11.5703125" style="25"/>
    <col min="6" max="6" width="17" style="25" customWidth="1"/>
    <col min="7" max="8" width="11.5703125" style="25"/>
    <col min="9" max="9" width="27" style="25" bestFit="1" customWidth="1"/>
    <col min="10" max="10" width="11.5703125" style="25" customWidth="1"/>
    <col min="11" max="11" width="32.140625" style="25" customWidth="1"/>
    <col min="12" max="12" width="11.5703125" style="25"/>
    <col min="13" max="14" width="11.5703125" style="26"/>
    <col min="15" max="15" width="12.28515625" style="26" bestFit="1" customWidth="1"/>
    <col min="16" max="16" width="19.28515625" style="26" bestFit="1" customWidth="1"/>
    <col min="17" max="16384" width="11.5703125" style="26"/>
  </cols>
  <sheetData>
    <row r="1" spans="2:21" ht="15.75" thickBot="1" x14ac:dyDescent="0.3">
      <c r="N1" s="27" t="s">
        <v>5</v>
      </c>
      <c r="O1" s="27" t="s">
        <v>26</v>
      </c>
      <c r="P1" s="27" t="s">
        <v>39</v>
      </c>
      <c r="Q1" s="27" t="s">
        <v>42</v>
      </c>
      <c r="R1" s="27" t="s">
        <v>52</v>
      </c>
      <c r="S1" s="27">
        <v>4</v>
      </c>
      <c r="T1" s="27" t="s">
        <v>51</v>
      </c>
      <c r="U1" s="27"/>
    </row>
    <row r="2" spans="2:21" x14ac:dyDescent="0.25">
      <c r="B2" s="3"/>
      <c r="C2" s="4"/>
      <c r="D2" s="4"/>
      <c r="E2" s="4"/>
      <c r="F2" s="4"/>
      <c r="G2" s="4"/>
      <c r="H2" s="4"/>
      <c r="I2" s="4"/>
      <c r="J2" s="4"/>
      <c r="K2" s="4"/>
      <c r="L2" s="5"/>
      <c r="N2" s="27" t="s">
        <v>49</v>
      </c>
      <c r="O2" s="27" t="s">
        <v>50</v>
      </c>
      <c r="P2" s="27" t="s">
        <v>51</v>
      </c>
      <c r="Q2" s="27">
        <v>360</v>
      </c>
      <c r="R2" s="27" t="s">
        <v>46</v>
      </c>
      <c r="S2" s="27">
        <v>6</v>
      </c>
      <c r="T2" s="27" t="s">
        <v>39</v>
      </c>
      <c r="U2" s="27"/>
    </row>
    <row r="3" spans="2:21" x14ac:dyDescent="0.25">
      <c r="B3" s="6"/>
      <c r="C3" s="7"/>
      <c r="D3" s="7"/>
      <c r="E3" s="7"/>
      <c r="F3" s="7"/>
      <c r="G3" s="7"/>
      <c r="H3" s="7"/>
      <c r="I3" s="7"/>
      <c r="J3" s="7"/>
      <c r="K3" s="7"/>
      <c r="L3" s="8"/>
      <c r="N3" s="27"/>
      <c r="O3" s="27"/>
      <c r="P3" s="27"/>
      <c r="Q3" s="27"/>
      <c r="R3" s="27"/>
      <c r="S3" s="27"/>
      <c r="T3" s="27" t="s">
        <v>53</v>
      </c>
      <c r="U3" s="27"/>
    </row>
    <row r="4" spans="2:21" x14ac:dyDescent="0.25">
      <c r="B4" s="6"/>
      <c r="C4" s="7"/>
      <c r="D4" s="7"/>
      <c r="E4" s="7"/>
      <c r="F4" s="7"/>
      <c r="G4" s="7"/>
      <c r="H4" s="7"/>
      <c r="I4" s="7"/>
      <c r="J4" s="7"/>
      <c r="K4" s="7"/>
      <c r="L4" s="8"/>
      <c r="N4" s="27"/>
      <c r="O4" s="27"/>
      <c r="P4" s="27"/>
      <c r="Q4" s="27"/>
      <c r="R4" s="27"/>
      <c r="S4" s="27"/>
      <c r="T4" s="27" t="s">
        <v>54</v>
      </c>
      <c r="U4" s="27"/>
    </row>
    <row r="5" spans="2:21" x14ac:dyDescent="0.25">
      <c r="B5" s="6"/>
      <c r="C5" s="7"/>
      <c r="D5" s="7"/>
      <c r="E5" s="7"/>
      <c r="F5" s="7"/>
      <c r="G5" s="7"/>
      <c r="H5" s="7"/>
      <c r="I5" s="7"/>
      <c r="J5" s="7"/>
      <c r="K5" s="7"/>
      <c r="L5" s="8"/>
      <c r="N5" s="27"/>
      <c r="O5" s="27"/>
      <c r="P5" s="27"/>
      <c r="Q5" s="27"/>
      <c r="R5" s="27"/>
      <c r="S5" s="27"/>
      <c r="T5" s="27" t="s">
        <v>55</v>
      </c>
      <c r="U5" s="27"/>
    </row>
    <row r="6" spans="2:21" x14ac:dyDescent="0.25">
      <c r="B6" s="6"/>
      <c r="C6" s="83" t="s">
        <v>0</v>
      </c>
      <c r="D6" s="9" t="s">
        <v>1</v>
      </c>
      <c r="E6" s="86"/>
      <c r="F6" s="87"/>
      <c r="G6" s="7"/>
      <c r="H6" s="88" t="s">
        <v>2</v>
      </c>
      <c r="I6" s="10" t="s">
        <v>3</v>
      </c>
      <c r="J6" s="89">
        <f>IF(E24=360,DAYS360(E10,E9),_xlfn.DAYS(E9,E10))</f>
        <v>0</v>
      </c>
      <c r="K6" s="90"/>
      <c r="L6" s="8"/>
    </row>
    <row r="7" spans="2:21" x14ac:dyDescent="0.25">
      <c r="B7" s="6"/>
      <c r="C7" s="84"/>
      <c r="D7" s="9" t="s">
        <v>4</v>
      </c>
      <c r="E7" s="86" t="s">
        <v>5</v>
      </c>
      <c r="F7" s="87"/>
      <c r="G7" s="7"/>
      <c r="H7" s="88"/>
      <c r="I7" s="11" t="s">
        <v>6</v>
      </c>
      <c r="J7" s="12" t="str">
        <f t="shared" ref="J7:J19" si="0">$E$18</f>
        <v>USD$</v>
      </c>
      <c r="K7" s="13">
        <f>F18*J22%</f>
        <v>0</v>
      </c>
      <c r="L7" s="8"/>
    </row>
    <row r="8" spans="2:21" x14ac:dyDescent="0.25">
      <c r="B8" s="6"/>
      <c r="C8" s="84"/>
      <c r="D8" s="9" t="s">
        <v>7</v>
      </c>
      <c r="E8" s="91"/>
      <c r="F8" s="92"/>
      <c r="G8" s="7"/>
      <c r="H8" s="88"/>
      <c r="I8" s="11" t="s">
        <v>8</v>
      </c>
      <c r="J8" s="14" t="str">
        <f t="shared" si="0"/>
        <v>USD$</v>
      </c>
      <c r="K8" s="15">
        <f>ROUND(IFERROR(F18*J21%,0),2)</f>
        <v>0</v>
      </c>
      <c r="L8" s="8"/>
    </row>
    <row r="9" spans="2:21" x14ac:dyDescent="0.25">
      <c r="B9" s="6"/>
      <c r="C9" s="84"/>
      <c r="D9" s="9" t="s">
        <v>9</v>
      </c>
      <c r="E9" s="93"/>
      <c r="F9" s="94"/>
      <c r="G9" s="7"/>
      <c r="H9" s="88"/>
      <c r="I9" s="11" t="s">
        <v>10</v>
      </c>
      <c r="J9" s="14" t="str">
        <f t="shared" si="0"/>
        <v>USD$</v>
      </c>
      <c r="K9" s="15">
        <f>ROUND(IFERROR(K7+K8,0),2)</f>
        <v>0</v>
      </c>
      <c r="L9" s="8"/>
    </row>
    <row r="10" spans="2:21" x14ac:dyDescent="0.25">
      <c r="B10" s="6"/>
      <c r="C10" s="84"/>
      <c r="D10" s="9" t="s">
        <v>11</v>
      </c>
      <c r="E10" s="93"/>
      <c r="F10" s="94"/>
      <c r="G10" s="7"/>
      <c r="H10" s="88"/>
      <c r="I10" s="11" t="s">
        <v>12</v>
      </c>
      <c r="J10" s="16" t="str">
        <f t="shared" si="0"/>
        <v>USD$</v>
      </c>
      <c r="K10" s="17">
        <f>K9+K13+K14</f>
        <v>0</v>
      </c>
      <c r="L10" s="8"/>
    </row>
    <row r="11" spans="2:21" x14ac:dyDescent="0.25">
      <c r="B11" s="6"/>
      <c r="C11" s="84"/>
      <c r="D11" s="9" t="s">
        <v>13</v>
      </c>
      <c r="E11" s="93"/>
      <c r="F11" s="94"/>
      <c r="G11" s="7"/>
      <c r="H11" s="88"/>
      <c r="I11" s="11" t="s">
        <v>14</v>
      </c>
      <c r="J11" s="16" t="str">
        <f t="shared" si="0"/>
        <v>USD$</v>
      </c>
      <c r="K11" s="17">
        <f>K9+K15+K16</f>
        <v>0</v>
      </c>
      <c r="L11" s="8"/>
    </row>
    <row r="12" spans="2:21" x14ac:dyDescent="0.25">
      <c r="B12" s="6"/>
      <c r="C12" s="84"/>
      <c r="D12" s="9" t="s">
        <v>15</v>
      </c>
      <c r="E12" s="95"/>
      <c r="F12" s="96"/>
      <c r="G12" s="7"/>
      <c r="H12" s="88"/>
      <c r="I12" s="11" t="s">
        <v>16</v>
      </c>
      <c r="J12" s="16" t="str">
        <f t="shared" si="0"/>
        <v>USD$</v>
      </c>
      <c r="K12" s="17">
        <f>ROUNDUP(SUM(K17:K18),2)</f>
        <v>0</v>
      </c>
      <c r="L12" s="8"/>
    </row>
    <row r="13" spans="2:21" x14ac:dyDescent="0.25">
      <c r="B13" s="6"/>
      <c r="C13" s="84"/>
      <c r="D13" s="9" t="s">
        <v>17</v>
      </c>
      <c r="E13" s="97"/>
      <c r="F13" s="97"/>
      <c r="G13" s="7"/>
      <c r="H13" s="88"/>
      <c r="I13" s="11" t="s">
        <v>18</v>
      </c>
      <c r="J13" s="16" t="str">
        <f>$E$18</f>
        <v>USD$</v>
      </c>
      <c r="K13" s="17">
        <f>ROUND(-IF($F$21&gt;0,$F$21*0.25,(ROUNDUP(IF($J$6&gt;365,$K$8*($E$19),$K$8*($E$19)*$J$6/360)/100,4))*0.25),2)</f>
        <v>0</v>
      </c>
      <c r="L13" s="8"/>
    </row>
    <row r="14" spans="2:21" x14ac:dyDescent="0.25">
      <c r="B14" s="6"/>
      <c r="C14" s="84"/>
      <c r="D14" s="9" t="s">
        <v>19</v>
      </c>
      <c r="E14" s="98"/>
      <c r="F14" s="98"/>
      <c r="G14" s="7"/>
      <c r="H14" s="88"/>
      <c r="I14" s="11" t="s">
        <v>20</v>
      </c>
      <c r="J14" s="16" t="str">
        <f t="shared" ref="J14:J17" si="1">$E$18</f>
        <v>USD$</v>
      </c>
      <c r="K14" s="17">
        <f>ROUND(IF(E29="SI",0,-IF($F$21&gt;0,$F$21*0.75,(ROUNDUP(IF($J$6&gt;365,$K$8*($E$19),$K$8*($E$19)*$J$6/360)/100,4))*0.75)),2)</f>
        <v>0</v>
      </c>
      <c r="L14" s="8"/>
    </row>
    <row r="15" spans="2:21" x14ac:dyDescent="0.25">
      <c r="B15" s="6"/>
      <c r="C15" s="84"/>
      <c r="D15" s="9" t="s">
        <v>21</v>
      </c>
      <c r="E15" s="98"/>
      <c r="F15" s="98"/>
      <c r="G15" s="7"/>
      <c r="H15" s="88"/>
      <c r="I15" s="11" t="s">
        <v>22</v>
      </c>
      <c r="J15" s="16" t="str">
        <f t="shared" si="1"/>
        <v>USD$</v>
      </c>
      <c r="K15" s="17">
        <f>ROUND(IF($F$22&gt;0,$F$22*0.25,(ROUNDUP(IF($J$6&gt;365,$K$8*($E$20),$K$8*($E$20)*$J$6/360)/100,4))*0.25),2)</f>
        <v>0</v>
      </c>
      <c r="L15" s="8"/>
    </row>
    <row r="16" spans="2:21" x14ac:dyDescent="0.25">
      <c r="B16" s="6"/>
      <c r="C16" s="84"/>
      <c r="D16" s="9" t="s">
        <v>23</v>
      </c>
      <c r="E16" s="99"/>
      <c r="F16" s="99"/>
      <c r="G16" s="7"/>
      <c r="H16" s="88"/>
      <c r="I16" s="11" t="s">
        <v>24</v>
      </c>
      <c r="J16" s="16" t="str">
        <f t="shared" si="1"/>
        <v>USD$</v>
      </c>
      <c r="K16" s="17">
        <f>ROUND(IF(E29="SI",0,IF($F$22&gt;0,$F$22*0.75,(ROUNDUP(IF($J$6&gt;365,$K$8*($E$20),$K$8*($E$20)*$J$6/360)/100,4))*0.75)),2)</f>
        <v>0</v>
      </c>
      <c r="L16" s="8"/>
    </row>
    <row r="17" spans="2:12" x14ac:dyDescent="0.25">
      <c r="B17" s="6"/>
      <c r="C17" s="84"/>
      <c r="D17" s="9" t="s">
        <v>25</v>
      </c>
      <c r="E17" s="100" t="s">
        <v>50</v>
      </c>
      <c r="F17" s="100"/>
      <c r="G17" s="7"/>
      <c r="H17" s="88"/>
      <c r="I17" s="11" t="s">
        <v>27</v>
      </c>
      <c r="J17" s="16" t="str">
        <f t="shared" si="1"/>
        <v>USD$</v>
      </c>
      <c r="K17" s="17">
        <f>ABS(K13-K15)</f>
        <v>0</v>
      </c>
      <c r="L17" s="8"/>
    </row>
    <row r="18" spans="2:12" x14ac:dyDescent="0.25">
      <c r="B18" s="6"/>
      <c r="C18" s="84"/>
      <c r="D18" s="18" t="s">
        <v>28</v>
      </c>
      <c r="E18" s="2" t="str">
        <f>IF($E$17="LEMPIRAS","L","USD$")</f>
        <v>USD$</v>
      </c>
      <c r="F18" s="1"/>
      <c r="G18" s="7"/>
      <c r="H18" s="88"/>
      <c r="I18" s="11" t="s">
        <v>29</v>
      </c>
      <c r="J18" s="16" t="str">
        <f t="shared" si="0"/>
        <v>USD$</v>
      </c>
      <c r="K18" s="17">
        <f>ABS(K14-K16)</f>
        <v>0</v>
      </c>
      <c r="L18" s="8"/>
    </row>
    <row r="19" spans="2:12" x14ac:dyDescent="0.25">
      <c r="B19" s="6"/>
      <c r="C19" s="84"/>
      <c r="D19" s="9" t="s">
        <v>30</v>
      </c>
      <c r="E19" s="82"/>
      <c r="F19" s="82"/>
      <c r="G19" s="7"/>
      <c r="H19" s="88"/>
      <c r="I19" s="19" t="s">
        <v>31</v>
      </c>
      <c r="J19" s="16" t="str">
        <f t="shared" si="0"/>
        <v>USD$</v>
      </c>
      <c r="K19" s="17">
        <f>IF(E28="NO",K7*10%,K7*0%)</f>
        <v>0</v>
      </c>
      <c r="L19" s="8"/>
    </row>
    <row r="20" spans="2:12" x14ac:dyDescent="0.25">
      <c r="B20" s="6"/>
      <c r="C20" s="84"/>
      <c r="D20" s="9" t="s">
        <v>32</v>
      </c>
      <c r="E20" s="82"/>
      <c r="F20" s="82"/>
      <c r="G20" s="7"/>
      <c r="H20" s="7"/>
      <c r="I20" s="7"/>
      <c r="J20" s="7"/>
      <c r="K20" s="7"/>
      <c r="L20" s="8"/>
    </row>
    <row r="21" spans="2:12" x14ac:dyDescent="0.25">
      <c r="B21" s="6"/>
      <c r="C21" s="84"/>
      <c r="D21" s="18" t="s">
        <v>33</v>
      </c>
      <c r="E21" s="2" t="str">
        <f>E18</f>
        <v>USD$</v>
      </c>
      <c r="F21" s="1"/>
      <c r="G21" s="7"/>
      <c r="H21" s="103" t="s">
        <v>34</v>
      </c>
      <c r="I21" s="20" t="s">
        <v>35</v>
      </c>
      <c r="J21" s="104">
        <f>IFERROR(IF(E27="SI",ROUND(1/(1+(E15*J6)/360)*100,6),IF(E25&gt;0,E25,ROUND(PRICE(E10,E9,E14,E15,E16,E13,IF(E23=T1,0,IF(E23=T2,1,IF(E23=T3,2,IF(E23=T4,3,IF(E23=T5,4,"ERROR")))))),E26))),0)</f>
        <v>0</v>
      </c>
      <c r="K21" s="104"/>
      <c r="L21" s="8"/>
    </row>
    <row r="22" spans="2:12" x14ac:dyDescent="0.25">
      <c r="B22" s="6"/>
      <c r="C22" s="84"/>
      <c r="D22" s="18" t="s">
        <v>36</v>
      </c>
      <c r="E22" s="2" t="str">
        <f>E21</f>
        <v>USD$</v>
      </c>
      <c r="F22" s="1"/>
      <c r="G22" s="7"/>
      <c r="H22" s="103"/>
      <c r="I22" s="20" t="s">
        <v>37</v>
      </c>
      <c r="J22" s="104">
        <f>IF(E25&gt;0,0,IFERROR(ROUND(ACCRINT(E11,E12,E10,E14,E16,E13,IF(E23=T1,0,IF(E23=T2,1,IF(E23=T3,2,IF(E23=T4,3,IF(E23=T5,4,"ERROR"))))),TRUE),E26),0))</f>
        <v>0</v>
      </c>
      <c r="K22" s="104"/>
      <c r="L22" s="8"/>
    </row>
    <row r="23" spans="2:12" x14ac:dyDescent="0.25">
      <c r="B23" s="6"/>
      <c r="C23" s="84"/>
      <c r="D23" s="9" t="s">
        <v>38</v>
      </c>
      <c r="E23" s="105" t="s">
        <v>51</v>
      </c>
      <c r="F23" s="105"/>
      <c r="G23" s="7"/>
      <c r="H23" s="103"/>
      <c r="I23" s="20" t="s">
        <v>40</v>
      </c>
      <c r="J23" s="104">
        <f>J21+J22</f>
        <v>0</v>
      </c>
      <c r="K23" s="104"/>
      <c r="L23" s="8"/>
    </row>
    <row r="24" spans="2:12" x14ac:dyDescent="0.25">
      <c r="B24" s="6"/>
      <c r="C24" s="84"/>
      <c r="D24" s="9" t="s">
        <v>41</v>
      </c>
      <c r="E24" s="106">
        <v>360</v>
      </c>
      <c r="F24" s="106"/>
      <c r="G24" s="7"/>
      <c r="H24" s="7"/>
      <c r="I24" s="7"/>
      <c r="J24" s="7"/>
      <c r="K24" s="7"/>
      <c r="L24" s="8"/>
    </row>
    <row r="25" spans="2:12" x14ac:dyDescent="0.25">
      <c r="B25" s="6"/>
      <c r="C25" s="84"/>
      <c r="D25" s="9" t="s">
        <v>43</v>
      </c>
      <c r="E25" s="107"/>
      <c r="F25" s="107"/>
      <c r="G25" s="7"/>
      <c r="H25" s="7"/>
      <c r="I25" s="7"/>
      <c r="J25" s="7"/>
      <c r="K25" s="7"/>
      <c r="L25" s="8"/>
    </row>
    <row r="26" spans="2:12" x14ac:dyDescent="0.25">
      <c r="B26" s="6"/>
      <c r="C26" s="84"/>
      <c r="D26" s="9" t="s">
        <v>44</v>
      </c>
      <c r="E26" s="108">
        <v>4</v>
      </c>
      <c r="F26" s="108"/>
      <c r="G26" s="7"/>
      <c r="H26" s="7"/>
      <c r="I26" s="7"/>
      <c r="J26" s="7"/>
      <c r="K26" s="7"/>
      <c r="L26" s="8"/>
    </row>
    <row r="27" spans="2:12" x14ac:dyDescent="0.25">
      <c r="B27" s="6"/>
      <c r="C27" s="84"/>
      <c r="D27" s="9" t="s">
        <v>45</v>
      </c>
      <c r="E27" s="108" t="s">
        <v>46</v>
      </c>
      <c r="F27" s="108"/>
      <c r="G27" s="7"/>
      <c r="H27" s="7"/>
      <c r="I27" s="7"/>
      <c r="J27" s="7"/>
      <c r="K27" s="7"/>
      <c r="L27" s="8"/>
    </row>
    <row r="28" spans="2:12" x14ac:dyDescent="0.25">
      <c r="B28" s="6"/>
      <c r="C28" s="84"/>
      <c r="D28" s="9" t="s">
        <v>47</v>
      </c>
      <c r="E28" s="98" t="s">
        <v>46</v>
      </c>
      <c r="F28" s="98"/>
      <c r="G28" s="7"/>
      <c r="H28" s="7"/>
      <c r="I28" s="21"/>
      <c r="J28" s="7"/>
      <c r="K28" s="7"/>
      <c r="L28" s="8"/>
    </row>
    <row r="29" spans="2:12" x14ac:dyDescent="0.25">
      <c r="B29" s="6"/>
      <c r="C29" s="85"/>
      <c r="D29" s="9" t="s">
        <v>48</v>
      </c>
      <c r="E29" s="101" t="s">
        <v>46</v>
      </c>
      <c r="F29" s="102"/>
      <c r="G29" s="7"/>
      <c r="H29" s="7"/>
      <c r="I29" s="7"/>
      <c r="J29" s="7"/>
      <c r="K29" s="7"/>
      <c r="L29" s="8"/>
    </row>
    <row r="30" spans="2:12" ht="15.75" thickBot="1" x14ac:dyDescent="0.3">
      <c r="B30" s="22"/>
      <c r="C30" s="23"/>
      <c r="D30" s="23"/>
      <c r="E30" s="23"/>
      <c r="F30" s="23"/>
      <c r="G30" s="23"/>
      <c r="H30" s="23"/>
      <c r="I30" s="23"/>
      <c r="J30" s="23"/>
      <c r="K30" s="23"/>
      <c r="L30" s="24"/>
    </row>
  </sheetData>
  <sheetProtection algorithmName="SHA-512" hashValue="Nvhz29VaKHVODT/+ZtB76PcHZzoJO1TN6qpyiKiny05g4jr4/jgKF75gdAaEEl9eCtkKuhkKL4nKyTqWDNYtSw==" saltValue="f/oBKo2a+W/4nfwasKt4Ng==" spinCount="100000" sheet="1" objects="1" scenarios="1" selectLockedCells="1"/>
  <mergeCells count="28">
    <mergeCell ref="E29:F29"/>
    <mergeCell ref="E20:F20"/>
    <mergeCell ref="H21:H23"/>
    <mergeCell ref="J21:K21"/>
    <mergeCell ref="J22:K22"/>
    <mergeCell ref="E23:F23"/>
    <mergeCell ref="J23:K23"/>
    <mergeCell ref="E24:F24"/>
    <mergeCell ref="E25:F25"/>
    <mergeCell ref="E26:F26"/>
    <mergeCell ref="E27:F27"/>
    <mergeCell ref="E28:F28"/>
    <mergeCell ref="E19:F19"/>
    <mergeCell ref="C6:C29"/>
    <mergeCell ref="E6:F6"/>
    <mergeCell ref="H6:H19"/>
    <mergeCell ref="J6:K6"/>
    <mergeCell ref="E7:F7"/>
    <mergeCell ref="E8:F8"/>
    <mergeCell ref="E9:F9"/>
    <mergeCell ref="E10:F10"/>
    <mergeCell ref="E11:F11"/>
    <mergeCell ref="E12:F12"/>
    <mergeCell ref="E13:F13"/>
    <mergeCell ref="E14:F14"/>
    <mergeCell ref="E15:F15"/>
    <mergeCell ref="E16:F16"/>
    <mergeCell ref="E17:F17"/>
  </mergeCells>
  <dataValidations count="8">
    <dataValidation type="whole" allowBlank="1" showInputMessage="1" showErrorMessage="1" errorTitle="ERROR" error="Ingresar numero de Periodicidad 1 a 12" sqref="E13:F13" xr:uid="{B0A0895D-0AF8-4C77-B357-52B84A8266D4}">
      <formula1>0</formula1>
      <formula2>12</formula2>
    </dataValidation>
    <dataValidation type="decimal" allowBlank="1" showInputMessage="1" showErrorMessage="1" sqref="E19:F20" xr:uid="{89E077B6-CC8E-4BB6-BC9F-75C456462B42}">
      <formula1>0</formula1>
      <formula2>1</formula2>
    </dataValidation>
    <dataValidation type="list" allowBlank="1" showInputMessage="1" showErrorMessage="1" sqref="E7:F7" xr:uid="{9F3C9DC1-45DA-465F-9B69-87ED192EF74F}">
      <formula1>$N$1:$N$2</formula1>
    </dataValidation>
    <dataValidation type="list" allowBlank="1" showInputMessage="1" showErrorMessage="1" sqref="E17:F17" xr:uid="{C1051A9C-4BC4-46EC-9DB4-E9494C2246E0}">
      <formula1>$O$1:$O$2</formula1>
    </dataValidation>
    <dataValidation type="list" allowBlank="1" showInputMessage="1" showErrorMessage="1" sqref="E23:F23" xr:uid="{849C61B1-E7FA-4A9E-93E6-C5A8148B98F2}">
      <formula1>$T$1:$T$5</formula1>
    </dataValidation>
    <dataValidation type="list" allowBlank="1" showInputMessage="1" showErrorMessage="1" sqref="E24:F24" xr:uid="{2658FDA6-33A2-46C0-99A0-D22EBB5B6274}">
      <formula1>$Q$1:$Q$2</formula1>
    </dataValidation>
    <dataValidation type="list" allowBlank="1" showInputMessage="1" showErrorMessage="1" sqref="E27:F29" xr:uid="{9A086A58-74B2-451C-B34A-9C47E2B4EE6B}">
      <formula1>$R$1:$R$2</formula1>
    </dataValidation>
    <dataValidation type="list" allowBlank="1" showInputMessage="1" showErrorMessage="1" sqref="E26:F26" xr:uid="{0D2062A9-90C8-4A6D-8F45-5D83C755D9C6}">
      <formula1>$S$1:$S$2</formula1>
    </dataValidation>
  </dataValidations>
  <pageMargins left="0.25" right="0.25" top="0.75" bottom="0.75" header="0.3" footer="0.3"/>
  <pageSetup scale="71" orientation="landscape" horizontalDpi="0" verticalDpi="0"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EB93D6-B72D-413B-A25D-70453329A360}">
  <sheetPr>
    <tabColor rgb="FFC00000"/>
    <pageSetUpPr fitToPage="1"/>
  </sheetPr>
  <dimension ref="A1:T37"/>
  <sheetViews>
    <sheetView showGridLines="0" showRowColHeaders="0" topLeftCell="A4" zoomScale="89" zoomScaleNormal="89" zoomScaleSheetLayoutView="145" workbookViewId="0">
      <selection activeCell="E18" sqref="E18:F18"/>
    </sheetView>
  </sheetViews>
  <sheetFormatPr baseColWidth="10" defaultColWidth="11.5703125" defaultRowHeight="15" x14ac:dyDescent="0.25"/>
  <cols>
    <col min="1" max="1" width="3" style="25" customWidth="1"/>
    <col min="2" max="2" width="7.28515625" style="25" customWidth="1"/>
    <col min="3" max="3" width="2.85546875" style="25" bestFit="1" customWidth="1"/>
    <col min="4" max="4" width="45.42578125" style="25" customWidth="1"/>
    <col min="5" max="5" width="6.7109375" style="25" customWidth="1"/>
    <col min="6" max="6" width="19" style="25" customWidth="1"/>
    <col min="7" max="7" width="8.140625" style="25" customWidth="1"/>
    <col min="8" max="8" width="44" style="25" bestFit="1" customWidth="1"/>
    <col min="9" max="9" width="7.7109375" style="25" customWidth="1"/>
    <col min="10" max="10" width="27.85546875" style="25" customWidth="1"/>
    <col min="11" max="11" width="11.5703125" style="25"/>
    <col min="12" max="13" width="11.5703125" style="26"/>
    <col min="14" max="14" width="12.28515625" style="26" bestFit="1" customWidth="1"/>
    <col min="15" max="15" width="19.28515625" style="26" bestFit="1" customWidth="1"/>
    <col min="16" max="16384" width="11.5703125" style="26"/>
  </cols>
  <sheetData>
    <row r="1" spans="2:20" ht="15.75" thickBot="1" x14ac:dyDescent="0.3">
      <c r="H1" s="26"/>
      <c r="I1" s="26"/>
      <c r="J1" s="26"/>
      <c r="M1" s="27"/>
      <c r="N1" s="27" t="s">
        <v>26</v>
      </c>
      <c r="O1" s="27"/>
      <c r="P1" s="27"/>
      <c r="Q1" s="27"/>
      <c r="R1" s="27"/>
      <c r="S1" s="27"/>
      <c r="T1" s="27"/>
    </row>
    <row r="2" spans="2:20" x14ac:dyDescent="0.25">
      <c r="B2" s="3"/>
      <c r="C2" s="4"/>
      <c r="D2" s="4"/>
      <c r="E2" s="4"/>
      <c r="F2" s="4"/>
      <c r="G2" s="4"/>
      <c r="H2" s="4"/>
      <c r="I2" s="4"/>
      <c r="J2" s="4"/>
      <c r="K2" s="5"/>
      <c r="M2" s="27" t="s">
        <v>49</v>
      </c>
      <c r="N2" s="27" t="s">
        <v>50</v>
      </c>
      <c r="O2" s="27" t="s">
        <v>51</v>
      </c>
      <c r="P2" s="27">
        <v>360</v>
      </c>
      <c r="Q2" s="27" t="s">
        <v>46</v>
      </c>
      <c r="R2" s="27">
        <v>6</v>
      </c>
      <c r="S2" s="27" t="s">
        <v>39</v>
      </c>
      <c r="T2" s="27"/>
    </row>
    <row r="3" spans="2:20" x14ac:dyDescent="0.25">
      <c r="B3" s="6"/>
      <c r="C3" s="7"/>
      <c r="D3" s="7"/>
      <c r="E3" s="7"/>
      <c r="F3" s="7"/>
      <c r="G3" s="7"/>
      <c r="H3" s="7"/>
      <c r="I3" s="7"/>
      <c r="J3" s="7"/>
      <c r="K3" s="8"/>
      <c r="M3" s="27"/>
      <c r="N3" s="27"/>
      <c r="O3" s="27"/>
      <c r="P3" s="27"/>
      <c r="Q3" s="27"/>
      <c r="R3" s="27"/>
      <c r="S3" s="27" t="s">
        <v>53</v>
      </c>
      <c r="T3" s="27"/>
    </row>
    <row r="4" spans="2:20" x14ac:dyDescent="0.25">
      <c r="B4" s="6"/>
      <c r="C4" s="7"/>
      <c r="D4" s="7"/>
      <c r="E4" s="7"/>
      <c r="F4" s="7"/>
      <c r="G4"/>
      <c r="H4" s="47"/>
      <c r="I4" s="7"/>
      <c r="J4" s="7"/>
      <c r="K4" s="8"/>
      <c r="M4" s="27"/>
      <c r="N4" s="27"/>
      <c r="O4" s="27"/>
      <c r="P4" s="27"/>
      <c r="Q4" s="27"/>
      <c r="R4" s="27"/>
      <c r="S4" s="27" t="s">
        <v>54</v>
      </c>
      <c r="T4" s="27"/>
    </row>
    <row r="5" spans="2:20" ht="15.75" thickBot="1" x14ac:dyDescent="0.3">
      <c r="B5" s="6"/>
      <c r="C5" s="7"/>
      <c r="D5"/>
      <c r="E5"/>
      <c r="F5"/>
      <c r="G5"/>
      <c r="H5" s="109" t="s">
        <v>71</v>
      </c>
      <c r="I5" s="109"/>
      <c r="J5" s="110"/>
      <c r="K5" s="8"/>
      <c r="M5" s="27"/>
      <c r="N5" s="27"/>
      <c r="O5" s="27"/>
      <c r="P5" s="27"/>
      <c r="Q5" s="27"/>
      <c r="R5" s="27"/>
      <c r="S5" s="27" t="s">
        <v>55</v>
      </c>
      <c r="T5" s="27"/>
    </row>
    <row r="6" spans="2:20" ht="14.45" customHeight="1" x14ac:dyDescent="0.25">
      <c r="B6" s="6"/>
      <c r="C6" s="121" t="s">
        <v>104</v>
      </c>
      <c r="D6" s="71" t="s">
        <v>86</v>
      </c>
      <c r="E6" s="91" t="s">
        <v>87</v>
      </c>
      <c r="F6" s="92"/>
      <c r="G6"/>
      <c r="H6" s="10" t="s">
        <v>58</v>
      </c>
      <c r="I6" s="114" t="str">
        <f>VLOOKUP(E6,PARAMETROS!F7:G13,2,0)</f>
        <v>Lempiras</v>
      </c>
      <c r="J6" s="115"/>
      <c r="K6" s="8"/>
      <c r="M6" s="27"/>
      <c r="N6" s="27"/>
      <c r="O6" s="27"/>
      <c r="P6" s="27"/>
      <c r="Q6" s="27"/>
      <c r="R6" s="27"/>
      <c r="S6" s="27"/>
      <c r="T6" s="27"/>
    </row>
    <row r="7" spans="2:20" ht="14.45" customHeight="1" x14ac:dyDescent="0.25">
      <c r="B7" s="6"/>
      <c r="C7" s="122"/>
      <c r="D7" s="71" t="s">
        <v>7</v>
      </c>
      <c r="E7" s="91">
        <v>45089</v>
      </c>
      <c r="F7" s="92"/>
      <c r="G7" s="7"/>
      <c r="H7" s="10" t="s">
        <v>75</v>
      </c>
      <c r="I7" s="111">
        <f>IF(E13&gt;0," ",ROUND(PRICE(E14,E8,E11,E12,100,E10,0),4)/100)</f>
        <v>1</v>
      </c>
      <c r="J7" s="112"/>
      <c r="K7" s="8"/>
    </row>
    <row r="8" spans="2:20" x14ac:dyDescent="0.25">
      <c r="B8" s="6"/>
      <c r="C8" s="122"/>
      <c r="D8" s="71" t="s">
        <v>9</v>
      </c>
      <c r="E8" s="93">
        <v>50933</v>
      </c>
      <c r="F8" s="94"/>
      <c r="G8" s="7"/>
      <c r="H8" s="10" t="s">
        <v>81</v>
      </c>
      <c r="I8" s="111">
        <f>PARAMETROS!C46</f>
        <v>8.5000000000000006E-2</v>
      </c>
      <c r="J8" s="112"/>
      <c r="K8" s="8"/>
    </row>
    <row r="9" spans="2:20" x14ac:dyDescent="0.25">
      <c r="B9" s="6"/>
      <c r="C9" s="122"/>
      <c r="D9" s="71" t="s">
        <v>28</v>
      </c>
      <c r="E9" s="72" t="str">
        <f>IF($I$6="LEMPIRAS","L","USD$")</f>
        <v>L</v>
      </c>
      <c r="F9" s="28">
        <v>1</v>
      </c>
      <c r="G9" s="7"/>
      <c r="H9" s="10" t="s">
        <v>76</v>
      </c>
      <c r="I9" s="14" t="str">
        <f>E9</f>
        <v>L</v>
      </c>
      <c r="J9" s="15">
        <f>IF(E13&gt;0,F9*E13,F9*I7)</f>
        <v>1</v>
      </c>
      <c r="K9" s="8"/>
    </row>
    <row r="10" spans="2:20" x14ac:dyDescent="0.25">
      <c r="B10" s="6"/>
      <c r="C10" s="122"/>
      <c r="D10" s="71" t="s">
        <v>17</v>
      </c>
      <c r="E10" s="133">
        <v>2</v>
      </c>
      <c r="F10" s="134"/>
      <c r="G10" s="7"/>
      <c r="H10" s="10" t="s">
        <v>100</v>
      </c>
      <c r="I10" s="14" t="str">
        <f>E9</f>
        <v>L</v>
      </c>
      <c r="J10" s="15">
        <f>J9*(I8+E19)</f>
        <v>8.5000000000000006E-2</v>
      </c>
      <c r="K10" s="8"/>
    </row>
    <row r="11" spans="2:20" x14ac:dyDescent="0.25">
      <c r="B11" s="6"/>
      <c r="C11" s="122"/>
      <c r="D11" s="71" t="s">
        <v>19</v>
      </c>
      <c r="E11" s="127">
        <v>0</v>
      </c>
      <c r="F11" s="128"/>
      <c r="G11" s="7"/>
      <c r="H11" s="73" t="s">
        <v>99</v>
      </c>
      <c r="I11" s="113" t="str">
        <f>IF(D31&lt;0,"COBERTURA INSUFICIENTE","COBERTURA SUFICIENTE")</f>
        <v>COBERTURA SUFICIENTE</v>
      </c>
      <c r="J11" s="113"/>
      <c r="K11" s="8"/>
    </row>
    <row r="12" spans="2:20" x14ac:dyDescent="0.25">
      <c r="B12" s="6"/>
      <c r="C12" s="122"/>
      <c r="D12" s="71" t="s">
        <v>21</v>
      </c>
      <c r="E12" s="129">
        <v>0</v>
      </c>
      <c r="F12" s="130"/>
      <c r="G12" s="7"/>
      <c r="H12" s="10" t="s">
        <v>77</v>
      </c>
      <c r="I12" s="14" t="str">
        <f>I10</f>
        <v>L</v>
      </c>
      <c r="J12" s="15">
        <f>J9-J10</f>
        <v>0.91500000000000004</v>
      </c>
      <c r="K12" s="74"/>
    </row>
    <row r="13" spans="2:20" ht="15.75" thickBot="1" x14ac:dyDescent="0.3">
      <c r="B13" s="6"/>
      <c r="C13" s="122"/>
      <c r="D13" s="71" t="s">
        <v>59</v>
      </c>
      <c r="E13" s="127">
        <v>0</v>
      </c>
      <c r="F13" s="128"/>
      <c r="G13" s="7"/>
      <c r="H13" s="109" t="s">
        <v>68</v>
      </c>
      <c r="I13" s="109"/>
      <c r="J13" s="110"/>
      <c r="K13" s="74"/>
    </row>
    <row r="14" spans="2:20" ht="14.45" customHeight="1" x14ac:dyDescent="0.25">
      <c r="B14" s="6"/>
      <c r="C14" s="116" t="s">
        <v>56</v>
      </c>
      <c r="D14" s="71" t="s">
        <v>11</v>
      </c>
      <c r="E14" s="123">
        <v>45817</v>
      </c>
      <c r="F14" s="124"/>
      <c r="G14" s="7"/>
      <c r="H14" s="10" t="s">
        <v>61</v>
      </c>
      <c r="I14" s="111">
        <f>ROUND(IF(E9=I15,J15/F9,IF(E9="USD$",(J15/E24)/F9,(J15*E24)/F9)),6)</f>
        <v>0</v>
      </c>
      <c r="J14" s="112"/>
      <c r="K14" s="8"/>
    </row>
    <row r="15" spans="2:20" ht="14.45" customHeight="1" x14ac:dyDescent="0.25">
      <c r="B15" s="6"/>
      <c r="C15" s="117"/>
      <c r="D15" s="71" t="s">
        <v>57</v>
      </c>
      <c r="E15" s="131" t="s">
        <v>50</v>
      </c>
      <c r="F15" s="132"/>
      <c r="G15" s="7"/>
      <c r="H15" s="10" t="s">
        <v>78</v>
      </c>
      <c r="I15" s="14" t="str">
        <f>IF($E$15="LEMPIRAS","L","USD$")</f>
        <v>USD$</v>
      </c>
      <c r="J15" s="15">
        <f>F16</f>
        <v>0</v>
      </c>
      <c r="K15" s="8"/>
    </row>
    <row r="16" spans="2:20" ht="14.45" customHeight="1" x14ac:dyDescent="0.25">
      <c r="B16" s="6"/>
      <c r="C16" s="117"/>
      <c r="D16" s="71" t="s">
        <v>78</v>
      </c>
      <c r="E16" s="72" t="str">
        <f>I15</f>
        <v>USD$</v>
      </c>
      <c r="F16" s="28">
        <v>0</v>
      </c>
      <c r="G16" s="7"/>
      <c r="H16" s="10" t="s">
        <v>72</v>
      </c>
      <c r="I16" s="14" t="str">
        <f>I15</f>
        <v>USD$</v>
      </c>
      <c r="J16" s="15">
        <f>IF(F22&gt;0,F22*0.25,J15*E20%/360*E17*25%)</f>
        <v>0</v>
      </c>
      <c r="K16" s="8"/>
    </row>
    <row r="17" spans="2:11" x14ac:dyDescent="0.25">
      <c r="B17" s="6"/>
      <c r="C17" s="117"/>
      <c r="D17" s="71" t="s">
        <v>60</v>
      </c>
      <c r="E17" s="133">
        <v>1</v>
      </c>
      <c r="F17" s="134"/>
      <c r="G17" s="7"/>
      <c r="H17" s="10" t="s">
        <v>119</v>
      </c>
      <c r="I17" s="14" t="str">
        <f>I15</f>
        <v>USD$</v>
      </c>
      <c r="J17" s="15">
        <f>IF(F22&gt;0,F22*0.75,J15*E20%/360*E17*75%)</f>
        <v>0</v>
      </c>
      <c r="K17" s="8"/>
    </row>
    <row r="18" spans="2:11" x14ac:dyDescent="0.25">
      <c r="B18" s="6"/>
      <c r="C18" s="117"/>
      <c r="D18" s="75" t="s">
        <v>80</v>
      </c>
      <c r="E18" s="135">
        <v>0</v>
      </c>
      <c r="F18" s="136"/>
      <c r="G18" s="7"/>
      <c r="H18" s="10" t="s">
        <v>73</v>
      </c>
      <c r="I18" s="14" t="str">
        <f>I15</f>
        <v>USD$</v>
      </c>
      <c r="J18" s="15">
        <f>IF(F23&gt;0,F23*0.25,J15*E21%/360*E17*25%)</f>
        <v>0</v>
      </c>
      <c r="K18" s="8"/>
    </row>
    <row r="19" spans="2:11" x14ac:dyDescent="0.25">
      <c r="B19" s="6"/>
      <c r="C19" s="117"/>
      <c r="D19" s="71" t="s">
        <v>94</v>
      </c>
      <c r="E19" s="135">
        <v>0</v>
      </c>
      <c r="F19" s="136"/>
      <c r="G19" s="7"/>
      <c r="H19" s="10" t="s">
        <v>74</v>
      </c>
      <c r="I19" s="14" t="str">
        <f>I15</f>
        <v>USD$</v>
      </c>
      <c r="J19" s="15">
        <f>IF(F23&gt;0,F23*0.75,J15*E21%/360*E17*75%)</f>
        <v>0</v>
      </c>
      <c r="K19" s="8"/>
    </row>
    <row r="20" spans="2:11" x14ac:dyDescent="0.25">
      <c r="B20" s="6"/>
      <c r="C20" s="117"/>
      <c r="D20" s="71" t="s">
        <v>64</v>
      </c>
      <c r="E20" s="125">
        <v>0.4</v>
      </c>
      <c r="F20" s="126"/>
      <c r="G20" s="7"/>
      <c r="H20" s="10" t="s">
        <v>66</v>
      </c>
      <c r="I20" s="14" t="str">
        <f>I15</f>
        <v>USD$</v>
      </c>
      <c r="J20" s="15">
        <f>J15-J16-J17</f>
        <v>0</v>
      </c>
      <c r="K20" s="8"/>
    </row>
    <row r="21" spans="2:11" x14ac:dyDescent="0.25">
      <c r="B21" s="6"/>
      <c r="C21" s="117"/>
      <c r="D21" s="71" t="s">
        <v>65</v>
      </c>
      <c r="E21" s="125">
        <v>0.4</v>
      </c>
      <c r="F21" s="126"/>
      <c r="G21" s="7"/>
      <c r="H21" s="10" t="s">
        <v>67</v>
      </c>
      <c r="I21" s="14" t="str">
        <f>I15</f>
        <v>USD$</v>
      </c>
      <c r="J21" s="15">
        <f>J15+J18+J19</f>
        <v>0</v>
      </c>
      <c r="K21" s="8"/>
    </row>
    <row r="22" spans="2:11" x14ac:dyDescent="0.25">
      <c r="B22" s="6"/>
      <c r="C22" s="117"/>
      <c r="D22" s="75" t="s">
        <v>102</v>
      </c>
      <c r="E22" s="2" t="str">
        <f>IF($E$15="LEMPIRAS","L","USD$")</f>
        <v>USD$</v>
      </c>
      <c r="F22" s="1">
        <v>0</v>
      </c>
      <c r="G22" s="7"/>
      <c r="H22" s="109" t="s">
        <v>69</v>
      </c>
      <c r="I22" s="109"/>
      <c r="J22" s="110"/>
      <c r="K22" s="8"/>
    </row>
    <row r="23" spans="2:11" x14ac:dyDescent="0.25">
      <c r="B23" s="6"/>
      <c r="C23" s="117"/>
      <c r="D23" s="75" t="s">
        <v>103</v>
      </c>
      <c r="E23" s="2" t="str">
        <f>E22</f>
        <v>USD$</v>
      </c>
      <c r="F23" s="1">
        <v>0</v>
      </c>
      <c r="G23" s="7"/>
      <c r="H23" s="76" t="s">
        <v>105</v>
      </c>
      <c r="I23" s="139">
        <f>E14+E17</f>
        <v>45818</v>
      </c>
      <c r="J23" s="140"/>
      <c r="K23" s="8"/>
    </row>
    <row r="24" spans="2:11" x14ac:dyDescent="0.25">
      <c r="B24" s="6"/>
      <c r="C24" s="117"/>
      <c r="D24" s="71" t="s">
        <v>82</v>
      </c>
      <c r="E24" s="119">
        <v>1</v>
      </c>
      <c r="F24" s="120"/>
      <c r="G24" s="7"/>
      <c r="H24" s="76" t="s">
        <v>62</v>
      </c>
      <c r="I24" s="111">
        <f>IF(E25="SI",J27/F9,ROUND(IF(E9=I15,J27/F9,IF(E9="USD$",(J27/E24)/F9,(J27*E24)/F9)),6))</f>
        <v>0</v>
      </c>
      <c r="J24" s="112"/>
      <c r="K24" s="8"/>
    </row>
    <row r="25" spans="2:11" ht="15.75" thickBot="1" x14ac:dyDescent="0.3">
      <c r="B25" s="6"/>
      <c r="C25" s="118"/>
      <c r="D25" s="71" t="s">
        <v>120</v>
      </c>
      <c r="E25" s="119" t="s">
        <v>46</v>
      </c>
      <c r="F25" s="120"/>
      <c r="G25" s="7"/>
      <c r="H25" s="76" t="s">
        <v>63</v>
      </c>
      <c r="I25" s="14" t="str">
        <f>IF(E25="SI",E9,I15)</f>
        <v>USD$</v>
      </c>
      <c r="J25" s="15">
        <f>IF(AND(E25="SI",E9="USD$",E9&lt;&gt;E16)=TRUE,J15/E24,IF(AND(E25="SI",E9="L",E9&lt;&gt;E16)=TRUE,J15*E24,J15))</f>
        <v>0</v>
      </c>
      <c r="K25" s="8"/>
    </row>
    <row r="26" spans="2:11" x14ac:dyDescent="0.25">
      <c r="B26" s="6"/>
      <c r="C26" s="77"/>
      <c r="D26" s="137" t="s">
        <v>124</v>
      </c>
      <c r="E26" s="137"/>
      <c r="F26" s="137"/>
      <c r="G26" s="7"/>
      <c r="H26" s="76" t="s">
        <v>101</v>
      </c>
      <c r="I26" s="14" t="str">
        <f>IF(E25="SI",E9,I15)</f>
        <v>USD$</v>
      </c>
      <c r="J26" s="15">
        <f>J25*(E18/360)*E17</f>
        <v>0</v>
      </c>
      <c r="K26" s="8"/>
    </row>
    <row r="27" spans="2:11" x14ac:dyDescent="0.25">
      <c r="B27" s="6"/>
      <c r="C27" s="78"/>
      <c r="D27" s="138"/>
      <c r="E27" s="138"/>
      <c r="F27" s="138"/>
      <c r="G27" s="7"/>
      <c r="H27" s="76" t="s">
        <v>79</v>
      </c>
      <c r="I27" s="14" t="str">
        <f>IF(E25="SI",E9,I15)</f>
        <v>USD$</v>
      </c>
      <c r="J27" s="15">
        <f>J25+J26</f>
        <v>0</v>
      </c>
      <c r="K27" s="8"/>
    </row>
    <row r="28" spans="2:11" x14ac:dyDescent="0.25">
      <c r="B28" s="6"/>
      <c r="C28" s="78"/>
      <c r="D28" s="138"/>
      <c r="E28" s="138"/>
      <c r="F28" s="138"/>
      <c r="G28" s="7"/>
      <c r="H28" s="76" t="s">
        <v>70</v>
      </c>
      <c r="I28" s="14" t="str">
        <f>IF(E25="SI",E9,I15)</f>
        <v>USD$</v>
      </c>
      <c r="J28" s="15">
        <f>J25+J26</f>
        <v>0</v>
      </c>
      <c r="K28" s="8"/>
    </row>
    <row r="29" spans="2:11" ht="15.75" thickBot="1" x14ac:dyDescent="0.3">
      <c r="B29" s="22"/>
      <c r="C29" s="79"/>
      <c r="D29" s="80"/>
      <c r="E29" s="23"/>
      <c r="F29" s="23"/>
      <c r="G29" s="23"/>
      <c r="H29" s="23"/>
      <c r="I29" s="23"/>
      <c r="J29" s="23"/>
      <c r="K29" s="24"/>
    </row>
    <row r="31" spans="2:11" x14ac:dyDescent="0.25">
      <c r="D31" s="81">
        <f>IF(I12=I15,J12-J15,IF(I12="USD$",J12-(J15/E24),J12-(J15*E24)))</f>
        <v>0.91500000000000004</v>
      </c>
    </row>
    <row r="36" spans="7:7" x14ac:dyDescent="0.25">
      <c r="G36" s="81" t="s">
        <v>52</v>
      </c>
    </row>
    <row r="37" spans="7:7" x14ac:dyDescent="0.25">
      <c r="G37" s="81" t="s">
        <v>46</v>
      </c>
    </row>
  </sheetData>
  <sheetProtection algorithmName="SHA-512" hashValue="otmEPsnOHR7Jdt0i2ezglS6k/gxQ3BRskYkCY9nOTMYc8TJGYZzFGN7F7PDvSrn/O7UPJ1KtV2AZaywltc9h6Q==" saltValue="7USTbkB7moZeV3j063tizA==" spinCount="100000" sheet="1" objects="1" scenarios="1" selectLockedCells="1"/>
  <mergeCells count="29">
    <mergeCell ref="D26:F28"/>
    <mergeCell ref="E10:F10"/>
    <mergeCell ref="I14:J14"/>
    <mergeCell ref="I23:J23"/>
    <mergeCell ref="I24:J24"/>
    <mergeCell ref="E18:F18"/>
    <mergeCell ref="C14:C25"/>
    <mergeCell ref="E25:F25"/>
    <mergeCell ref="C6:C13"/>
    <mergeCell ref="E14:F14"/>
    <mergeCell ref="E6:F6"/>
    <mergeCell ref="E24:F24"/>
    <mergeCell ref="E21:F21"/>
    <mergeCell ref="E20:F20"/>
    <mergeCell ref="E11:F11"/>
    <mergeCell ref="E12:F12"/>
    <mergeCell ref="E7:F7"/>
    <mergeCell ref="E8:F8"/>
    <mergeCell ref="E15:F15"/>
    <mergeCell ref="E17:F17"/>
    <mergeCell ref="E19:F19"/>
    <mergeCell ref="E13:F13"/>
    <mergeCell ref="H5:J5"/>
    <mergeCell ref="I7:J7"/>
    <mergeCell ref="H13:J13"/>
    <mergeCell ref="I11:J11"/>
    <mergeCell ref="H22:J22"/>
    <mergeCell ref="I6:J6"/>
    <mergeCell ref="I8:J8"/>
  </mergeCells>
  <conditionalFormatting sqref="I11">
    <cfRule type="containsText" dxfId="1" priority="4" operator="containsText" text="COBERTURA SUFICIENTE">
      <formula>NOT(ISERROR(SEARCH("COBERTURA SUFICIENTE",I11)))</formula>
    </cfRule>
    <cfRule type="containsText" dxfId="0" priority="5" operator="containsText" text="COBERTURA INSUFICIENTE">
      <formula>NOT(ISERROR(SEARCH("COBERTURA INSUFICIENTE",I11)))</formula>
    </cfRule>
  </conditionalFormatting>
  <dataValidations count="4">
    <dataValidation type="list" allowBlank="1" showInputMessage="1" showErrorMessage="1" sqref="E15" xr:uid="{9333B1C4-8340-49A7-8DF4-556CAD58BC26}">
      <formula1>$N$1:$N$2</formula1>
    </dataValidation>
    <dataValidation type="decimal" allowBlank="1" showInputMessage="1" showErrorMessage="1" sqref="E20:E21" xr:uid="{365B7E39-087B-45A7-88E2-65A6D603C707}">
      <formula1>0</formula1>
      <formula2>1</formula2>
    </dataValidation>
    <dataValidation type="whole" allowBlank="1" showInputMessage="1" showErrorMessage="1" sqref="E17" xr:uid="{1502E866-55E5-4DE9-ADDD-32CDBAE684A3}">
      <formula1>1</formula1>
      <formula2>45</formula2>
    </dataValidation>
    <dataValidation type="list" allowBlank="1" showInputMessage="1" showErrorMessage="1" sqref="E25:F25" xr:uid="{E68CFF6B-A1AB-4BA2-BE7C-121900C64C70}">
      <formula1>$G$36:$G$37</formula1>
    </dataValidation>
  </dataValidations>
  <pageMargins left="0.25" right="0.25" top="0.75" bottom="0.75" header="0.3" footer="0.3"/>
  <pageSetup scale="75" orientation="landscape" verticalDpi="0" r:id="rId1"/>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3124A5C9-1AD1-4145-BA01-F5FEAB3D4EBB}">
          <x14:formula1>
            <xm:f>PARAMETROS!$A$7:$A$13</xm:f>
          </x14:formula1>
          <xm:sqref>E6:F6</xm:sqref>
        </x14:dataValidation>
        <x14:dataValidation type="list" allowBlank="1" showInputMessage="1" showErrorMessage="1" errorTitle="ERROR" error="Ingresar numero de Periodicidad 1 a 12" xr:uid="{7C804746-E1A2-43ED-9331-B516ABE54414}">
          <x14:formula1>
            <xm:f>PARAMETROS!$H$1:$H$4</xm:f>
          </x14:formula1>
          <xm:sqref>E10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E72BC9-A7CD-4EA6-804A-CB2939DF1FED}">
  <sheetPr>
    <tabColor rgb="FFC00000"/>
  </sheetPr>
  <dimension ref="A1:J27"/>
  <sheetViews>
    <sheetView showGridLines="0" showRowColHeaders="0" zoomScale="115" zoomScaleNormal="115" workbookViewId="0"/>
  </sheetViews>
  <sheetFormatPr baseColWidth="10" defaultColWidth="11.5703125" defaultRowHeight="15" x14ac:dyDescent="0.25"/>
  <cols>
    <col min="1" max="1" width="4.85546875" style="50" customWidth="1"/>
    <col min="2" max="2" width="3.28515625" style="25" customWidth="1"/>
    <col min="3" max="3" width="52.28515625" style="25" bestFit="1" customWidth="1"/>
    <col min="4" max="4" width="6.7109375" style="25" customWidth="1"/>
    <col min="5" max="5" width="17.7109375" style="25" customWidth="1"/>
    <col min="6" max="6" width="6.7109375" style="25" customWidth="1"/>
    <col min="7" max="7" width="17.7109375" style="25" customWidth="1"/>
    <col min="8" max="8" width="4.42578125" style="25" customWidth="1"/>
    <col min="9" max="9" width="17.85546875" style="25" bestFit="1" customWidth="1"/>
    <col min="10" max="10" width="18" style="25" bestFit="1" customWidth="1"/>
    <col min="11" max="16384" width="11.5703125" style="25"/>
  </cols>
  <sheetData>
    <row r="1" spans="2:10" ht="15.75" thickBot="1" x14ac:dyDescent="0.3"/>
    <row r="2" spans="2:10" x14ac:dyDescent="0.25">
      <c r="B2" s="52"/>
      <c r="C2" s="53"/>
      <c r="D2" s="53"/>
      <c r="E2" s="53"/>
      <c r="F2" s="53"/>
      <c r="G2" s="53"/>
      <c r="H2" s="54"/>
    </row>
    <row r="3" spans="2:10" x14ac:dyDescent="0.25">
      <c r="B3" s="55"/>
      <c r="C3"/>
      <c r="D3"/>
      <c r="E3"/>
      <c r="F3"/>
      <c r="G3"/>
      <c r="H3" s="56"/>
    </row>
    <row r="4" spans="2:10" x14ac:dyDescent="0.25">
      <c r="B4" s="55"/>
      <c r="C4"/>
      <c r="D4"/>
      <c r="E4"/>
      <c r="F4"/>
      <c r="G4"/>
      <c r="H4" s="56"/>
    </row>
    <row r="5" spans="2:10" ht="15.75" thickBot="1" x14ac:dyDescent="0.3">
      <c r="B5" s="55"/>
      <c r="C5"/>
      <c r="D5"/>
      <c r="E5"/>
      <c r="F5"/>
      <c r="G5"/>
      <c r="H5" s="56"/>
    </row>
    <row r="6" spans="2:10" ht="15.75" x14ac:dyDescent="0.25">
      <c r="B6" s="55"/>
      <c r="C6" s="66" t="s">
        <v>114</v>
      </c>
      <c r="D6" s="149" t="s">
        <v>121</v>
      </c>
      <c r="E6" s="149"/>
      <c r="F6" s="149" t="s">
        <v>122</v>
      </c>
      <c r="G6" s="150"/>
      <c r="H6" s="56"/>
    </row>
    <row r="7" spans="2:10" x14ac:dyDescent="0.25">
      <c r="B7" s="55"/>
      <c r="C7" s="68" t="s">
        <v>115</v>
      </c>
      <c r="D7" s="147">
        <v>6.4999999999999994E-5</v>
      </c>
      <c r="E7" s="147"/>
      <c r="F7" s="147">
        <v>6.4999999999999994E-5</v>
      </c>
      <c r="G7" s="148"/>
      <c r="H7" s="56"/>
    </row>
    <row r="8" spans="2:10" x14ac:dyDescent="0.25">
      <c r="B8" s="55"/>
      <c r="C8" s="68" t="s">
        <v>116</v>
      </c>
      <c r="D8" s="147">
        <v>8.0000000000000007E-5</v>
      </c>
      <c r="E8" s="147"/>
      <c r="F8" s="147">
        <v>1.4E-5</v>
      </c>
      <c r="G8" s="148"/>
      <c r="H8" s="56"/>
    </row>
    <row r="9" spans="2:10" ht="15.75" thickBot="1" x14ac:dyDescent="0.3">
      <c r="B9" s="55"/>
      <c r="C9" s="69" t="s">
        <v>113</v>
      </c>
      <c r="D9" s="151">
        <v>6.5000000000000002E-2</v>
      </c>
      <c r="E9" s="151"/>
      <c r="F9" s="151">
        <v>0</v>
      </c>
      <c r="G9" s="152"/>
      <c r="H9" s="56"/>
    </row>
    <row r="10" spans="2:10" ht="15.75" thickBot="1" x14ac:dyDescent="0.3">
      <c r="B10" s="55"/>
      <c r="C10"/>
      <c r="D10"/>
      <c r="E10"/>
      <c r="F10"/>
      <c r="G10"/>
      <c r="H10" s="56"/>
    </row>
    <row r="11" spans="2:10" x14ac:dyDescent="0.25">
      <c r="B11" s="55"/>
      <c r="C11" s="141" t="s">
        <v>106</v>
      </c>
      <c r="D11" s="142"/>
      <c r="E11" s="142"/>
      <c r="F11" s="142"/>
      <c r="G11" s="143"/>
      <c r="H11" s="56"/>
    </row>
    <row r="12" spans="2:10" x14ac:dyDescent="0.25">
      <c r="B12" s="55"/>
      <c r="C12" s="67" t="s">
        <v>107</v>
      </c>
      <c r="D12" s="144" t="s">
        <v>108</v>
      </c>
      <c r="E12" s="144"/>
      <c r="F12" s="145" t="s">
        <v>111</v>
      </c>
      <c r="G12" s="146"/>
      <c r="H12" s="57"/>
      <c r="I12" s="51"/>
      <c r="J12" s="51"/>
    </row>
    <row r="13" spans="2:10" x14ac:dyDescent="0.25">
      <c r="B13" s="55"/>
      <c r="C13" s="70" t="s">
        <v>109</v>
      </c>
      <c r="D13" s="48" t="str">
        <f>'CALCULADORA REPORTOS'!I15</f>
        <v>USD$</v>
      </c>
      <c r="E13" s="49">
        <f>'CALCULADORA REPORTOS'!J15</f>
        <v>0</v>
      </c>
      <c r="F13" s="48" t="str">
        <f>+'CALCULADORA REPORTOS'!I15</f>
        <v>USD$</v>
      </c>
      <c r="G13" s="62">
        <f>(E13*D7*'CALCULADORA REPORTOS'!E17)/360</f>
        <v>0</v>
      </c>
      <c r="H13" s="56"/>
    </row>
    <row r="14" spans="2:10" ht="15.75" thickBot="1" x14ac:dyDescent="0.3">
      <c r="B14" s="55"/>
      <c r="C14" s="69" t="s">
        <v>110</v>
      </c>
      <c r="D14" s="63" t="str">
        <f>'CALCULADORA REPORTOS'!I25</f>
        <v>USD$</v>
      </c>
      <c r="E14" s="64">
        <f>'CALCULADORA REPORTOS'!J27</f>
        <v>0</v>
      </c>
      <c r="F14" s="63" t="str">
        <f>'CALCULADORA REPORTOS'!I25</f>
        <v>USD$</v>
      </c>
      <c r="G14" s="65">
        <f>(E14*D7*'CALCULADORA REPORTOS'!E17)/360</f>
        <v>0</v>
      </c>
      <c r="H14" s="56"/>
    </row>
    <row r="15" spans="2:10" ht="15.75" thickBot="1" x14ac:dyDescent="0.3">
      <c r="B15" s="55"/>
      <c r="C15"/>
      <c r="D15"/>
      <c r="E15"/>
      <c r="F15"/>
      <c r="G15"/>
      <c r="H15" s="56"/>
    </row>
    <row r="16" spans="2:10" x14ac:dyDescent="0.25">
      <c r="B16" s="55"/>
      <c r="C16" s="141" t="s">
        <v>117</v>
      </c>
      <c r="D16" s="142"/>
      <c r="E16" s="142"/>
      <c r="F16" s="142"/>
      <c r="G16" s="143"/>
      <c r="H16" s="56"/>
    </row>
    <row r="17" spans="2:9" x14ac:dyDescent="0.25">
      <c r="B17" s="55"/>
      <c r="C17" s="67" t="s">
        <v>107</v>
      </c>
      <c r="D17" s="145" t="s">
        <v>108</v>
      </c>
      <c r="E17" s="145"/>
      <c r="F17" s="145" t="s">
        <v>111</v>
      </c>
      <c r="G17" s="146"/>
      <c r="H17" s="58"/>
      <c r="I17" s="51"/>
    </row>
    <row r="18" spans="2:9" x14ac:dyDescent="0.25">
      <c r="B18" s="55"/>
      <c r="C18" s="68" t="s">
        <v>109</v>
      </c>
      <c r="D18" s="48" t="str">
        <f>+'CALCULADORA REPORTOS'!I15</f>
        <v>USD$</v>
      </c>
      <c r="E18" s="49">
        <f>+'CALCULADORA REPORTOS'!J15</f>
        <v>0</v>
      </c>
      <c r="F18" s="48" t="str">
        <f>+'CALCULADORA REPORTOS'!I15</f>
        <v>USD$</v>
      </c>
      <c r="G18" s="62">
        <f>(E18*D7*'CALCULADORA REPORTOS'!E17)/360</f>
        <v>0</v>
      </c>
      <c r="H18" s="56"/>
    </row>
    <row r="19" spans="2:9" ht="15.75" thickBot="1" x14ac:dyDescent="0.3">
      <c r="B19" s="55"/>
      <c r="C19" s="69" t="s">
        <v>110</v>
      </c>
      <c r="D19" s="63" t="str">
        <f>'CALCULADORA REPORTOS'!I25</f>
        <v>USD$</v>
      </c>
      <c r="E19" s="64">
        <f>+'CALCULADORA REPORTOS'!J28</f>
        <v>0</v>
      </c>
      <c r="F19" s="63" t="str">
        <f>'CALCULADORA REPORTOS'!I25</f>
        <v>USD$</v>
      </c>
      <c r="G19" s="65">
        <f>(E19*D7*'CALCULADORA REPORTOS'!E17)/360</f>
        <v>0</v>
      </c>
      <c r="H19" s="56"/>
    </row>
    <row r="20" spans="2:9" ht="15.75" thickBot="1" x14ac:dyDescent="0.3">
      <c r="B20" s="55"/>
      <c r="C20"/>
      <c r="D20"/>
      <c r="E20"/>
      <c r="F20"/>
      <c r="G20"/>
      <c r="H20" s="56"/>
    </row>
    <row r="21" spans="2:9" x14ac:dyDescent="0.25">
      <c r="B21" s="55"/>
      <c r="C21" s="141" t="s">
        <v>118</v>
      </c>
      <c r="D21" s="142"/>
      <c r="E21" s="142"/>
      <c r="F21" s="142"/>
      <c r="G21" s="143"/>
      <c r="H21" s="56"/>
    </row>
    <row r="22" spans="2:9" x14ac:dyDescent="0.25">
      <c r="B22" s="55"/>
      <c r="C22" s="67" t="s">
        <v>107</v>
      </c>
      <c r="D22" s="145" t="s">
        <v>108</v>
      </c>
      <c r="E22" s="145"/>
      <c r="F22" s="145" t="s">
        <v>111</v>
      </c>
      <c r="G22" s="146"/>
      <c r="H22" s="56"/>
    </row>
    <row r="23" spans="2:9" x14ac:dyDescent="0.25">
      <c r="B23" s="55"/>
      <c r="C23" s="68" t="s">
        <v>112</v>
      </c>
      <c r="D23" s="48" t="str">
        <f>'CALCULADORA REPORTOS'!E9</f>
        <v>L</v>
      </c>
      <c r="E23" s="49">
        <f>+('CALCULADORA REPORTOS'!F9*'CALCULADORA REPORTOS'!E17)/30</f>
        <v>3.3333333333333333E-2</v>
      </c>
      <c r="F23" s="48" t="str">
        <f>+'CALCULADORA REPORTOS'!E9</f>
        <v>L</v>
      </c>
      <c r="G23" s="62">
        <f>IF(D23="USD$",E23*D8,E23*F8)</f>
        <v>4.6666666666666666E-7</v>
      </c>
      <c r="H23" s="56"/>
    </row>
    <row r="24" spans="2:9" ht="15.75" thickBot="1" x14ac:dyDescent="0.3">
      <c r="B24" s="55"/>
      <c r="C24" s="69" t="s">
        <v>113</v>
      </c>
      <c r="D24" s="63" t="str">
        <f>+'CALCULADORA REPORTOS'!E9</f>
        <v>L</v>
      </c>
      <c r="E24" s="64">
        <f>IF(D23="USD$",G23,0)</f>
        <v>0</v>
      </c>
      <c r="F24" s="63" t="str">
        <f>+'CALCULADORA REPORTOS'!E9</f>
        <v>L</v>
      </c>
      <c r="G24" s="65">
        <f>+E24*D9</f>
        <v>0</v>
      </c>
      <c r="H24" s="56"/>
    </row>
    <row r="25" spans="2:9" x14ac:dyDescent="0.25">
      <c r="B25" s="55"/>
      <c r="C25"/>
      <c r="D25"/>
      <c r="E25"/>
      <c r="F25"/>
      <c r="G25"/>
      <c r="H25" s="56"/>
    </row>
    <row r="26" spans="2:9" ht="47.45" customHeight="1" x14ac:dyDescent="0.25">
      <c r="B26" s="55"/>
      <c r="C26" s="153" t="s">
        <v>123</v>
      </c>
      <c r="D26" s="153"/>
      <c r="E26" s="153"/>
      <c r="F26" s="153"/>
      <c r="G26" s="153"/>
      <c r="H26" s="56"/>
    </row>
    <row r="27" spans="2:9" ht="15.75" thickBot="1" x14ac:dyDescent="0.3">
      <c r="B27" s="59"/>
      <c r="C27" s="60"/>
      <c r="D27" s="60"/>
      <c r="E27" s="60"/>
      <c r="F27" s="60"/>
      <c r="G27" s="60"/>
      <c r="H27" s="61"/>
    </row>
  </sheetData>
  <sheetProtection algorithmName="SHA-512" hashValue="lSfvkaxxKe6S/LoiZdgmJYFEwPBCEAmpT3DgaSVjw6RKLfjswQRc61SUjPfDgCGt1gYbZYLqmUqpkCOg5pfIkw==" saltValue="i2E84AbxNVHefmMSj1IjJA==" spinCount="100000" sheet="1" objects="1" scenarios="1" selectLockedCells="1"/>
  <mergeCells count="18">
    <mergeCell ref="D17:E17"/>
    <mergeCell ref="F17:G17"/>
    <mergeCell ref="C16:G16"/>
    <mergeCell ref="D22:E22"/>
    <mergeCell ref="C26:G26"/>
    <mergeCell ref="F22:G22"/>
    <mergeCell ref="C21:G21"/>
    <mergeCell ref="C11:G11"/>
    <mergeCell ref="D12:E12"/>
    <mergeCell ref="F12:G12"/>
    <mergeCell ref="F7:G7"/>
    <mergeCell ref="F6:G6"/>
    <mergeCell ref="D7:E7"/>
    <mergeCell ref="D8:E8"/>
    <mergeCell ref="D9:E9"/>
    <mergeCell ref="D6:E6"/>
    <mergeCell ref="F8:G8"/>
    <mergeCell ref="F9:G9"/>
  </mergeCells>
  <pageMargins left="0.7" right="0.7" top="0.75" bottom="0.75" header="0.3" footer="0.3"/>
  <pageSetup scale="58" orientation="portrait" verticalDpi="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6E816B-A794-4339-BDD5-CA2B5FB1F44E}">
  <dimension ref="A1:I46"/>
  <sheetViews>
    <sheetView workbookViewId="0">
      <selection activeCell="H1" sqref="H1:H4"/>
    </sheetView>
  </sheetViews>
  <sheetFormatPr baseColWidth="10" defaultRowHeight="15" x14ac:dyDescent="0.25"/>
  <cols>
    <col min="1" max="1" width="72.140625" bestFit="1" customWidth="1"/>
    <col min="2" max="2" width="16.28515625" bestFit="1" customWidth="1"/>
    <col min="3" max="3" width="16.140625" bestFit="1" customWidth="1"/>
    <col min="6" max="6" width="23.85546875" bestFit="1" customWidth="1"/>
    <col min="7" max="7" width="12.28515625" bestFit="1" customWidth="1"/>
  </cols>
  <sheetData>
    <row r="1" spans="1:9" x14ac:dyDescent="0.25">
      <c r="B1" s="38" cm="1">
        <f t="array" ref="B1:C1">'CALCULADORA REPORTOS'!E17:F17</f>
        <v>1</v>
      </c>
      <c r="C1" s="38">
        <v>0</v>
      </c>
      <c r="H1" s="46">
        <v>0</v>
      </c>
    </row>
    <row r="2" spans="1:9" x14ac:dyDescent="0.25">
      <c r="B2" s="39" t="str" cm="1">
        <f t="array" ref="B2:C2">'CALCULADORA REPORTOS'!E6:F6</f>
        <v>BONO SEFIN (HNL)</v>
      </c>
      <c r="C2" s="38">
        <v>0</v>
      </c>
      <c r="H2" s="46">
        <v>2</v>
      </c>
    </row>
    <row r="3" spans="1:9" x14ac:dyDescent="0.25">
      <c r="A3" t="s">
        <v>83</v>
      </c>
      <c r="B3" s="39" t="str" cm="1">
        <f t="array" ref="B3:C3">'CALCULADORA REPORTOS'!I6:J6</f>
        <v>Lempiras</v>
      </c>
      <c r="C3" s="38">
        <v>0</v>
      </c>
      <c r="H3" s="46">
        <v>4</v>
      </c>
    </row>
    <row r="4" spans="1:9" x14ac:dyDescent="0.25">
      <c r="A4" t="s">
        <v>97</v>
      </c>
      <c r="B4" s="39" t="str" cm="1">
        <f t="array" ref="B4:C4">'CALCULADORA REPORTOS'!E15:F15</f>
        <v>Dólares EEUU</v>
      </c>
      <c r="C4" s="38">
        <v>0</v>
      </c>
      <c r="H4" s="46">
        <v>12</v>
      </c>
    </row>
    <row r="5" spans="1:9" x14ac:dyDescent="0.25">
      <c r="B5" s="38" t="str">
        <f>IF(B3=B4,0,IF(B4="Dólares EEUU",A38,A37))</f>
        <v>VALORES REPORTADOS Y LIQUIDADOS EN MONEDA DISTINTA (LIQUIDACIÓN EN USD)</v>
      </c>
      <c r="C5" s="38"/>
    </row>
    <row r="6" spans="1:9" x14ac:dyDescent="0.25">
      <c r="A6" t="s">
        <v>83</v>
      </c>
      <c r="B6" t="s">
        <v>96</v>
      </c>
      <c r="C6" t="s">
        <v>95</v>
      </c>
    </row>
    <row r="7" spans="1:9" x14ac:dyDescent="0.25">
      <c r="A7" s="30" t="s">
        <v>87</v>
      </c>
      <c r="B7" s="31">
        <v>0.05</v>
      </c>
      <c r="C7" s="30">
        <v>7</v>
      </c>
      <c r="F7" t="s">
        <v>87</v>
      </c>
      <c r="G7" t="s">
        <v>26</v>
      </c>
    </row>
    <row r="8" spans="1:9" x14ac:dyDescent="0.25">
      <c r="A8" s="30" t="s">
        <v>88</v>
      </c>
      <c r="B8" s="31">
        <v>0.05</v>
      </c>
      <c r="C8" s="30"/>
      <c r="F8" t="s">
        <v>88</v>
      </c>
      <c r="G8" s="39" t="s">
        <v>50</v>
      </c>
    </row>
    <row r="9" spans="1:9" x14ac:dyDescent="0.25">
      <c r="A9" s="30" t="s">
        <v>89</v>
      </c>
      <c r="B9" s="31">
        <v>0.05</v>
      </c>
      <c r="C9" s="30"/>
      <c r="F9" t="s">
        <v>89</v>
      </c>
      <c r="G9" t="s">
        <v>26</v>
      </c>
    </row>
    <row r="10" spans="1:9" x14ac:dyDescent="0.25">
      <c r="A10" s="30" t="s">
        <v>90</v>
      </c>
      <c r="B10" s="31">
        <v>0.05</v>
      </c>
      <c r="C10" s="30"/>
      <c r="F10" t="s">
        <v>90</v>
      </c>
      <c r="G10" t="s">
        <v>26</v>
      </c>
    </row>
    <row r="11" spans="1:9" x14ac:dyDescent="0.25">
      <c r="A11" s="30" t="s">
        <v>91</v>
      </c>
      <c r="B11" s="31">
        <v>0.1</v>
      </c>
      <c r="C11" s="30"/>
      <c r="F11" t="s">
        <v>91</v>
      </c>
      <c r="G11" t="s">
        <v>26</v>
      </c>
    </row>
    <row r="12" spans="1:9" x14ac:dyDescent="0.25">
      <c r="A12" s="30" t="s">
        <v>92</v>
      </c>
      <c r="B12" s="31">
        <v>0.15</v>
      </c>
      <c r="C12" s="30"/>
      <c r="F12" t="s">
        <v>92</v>
      </c>
      <c r="G12" t="s">
        <v>26</v>
      </c>
    </row>
    <row r="13" spans="1:9" x14ac:dyDescent="0.25">
      <c r="A13" s="30" t="s">
        <v>93</v>
      </c>
      <c r="B13" s="31">
        <v>0.15</v>
      </c>
      <c r="C13" s="30"/>
      <c r="F13" t="s">
        <v>93</v>
      </c>
      <c r="G13" t="s">
        <v>50</v>
      </c>
    </row>
    <row r="14" spans="1:9" x14ac:dyDescent="0.25">
      <c r="A14" s="32" t="s">
        <v>87</v>
      </c>
      <c r="B14" s="33">
        <v>0.05</v>
      </c>
      <c r="C14" s="32">
        <v>14</v>
      </c>
    </row>
    <row r="15" spans="1:9" x14ac:dyDescent="0.25">
      <c r="A15" s="32" t="s">
        <v>88</v>
      </c>
      <c r="B15" s="33">
        <v>0.05</v>
      </c>
      <c r="C15" s="32"/>
    </row>
    <row r="16" spans="1:9" x14ac:dyDescent="0.25">
      <c r="A16" s="32" t="s">
        <v>89</v>
      </c>
      <c r="B16" s="33">
        <v>0.05</v>
      </c>
      <c r="C16" s="32"/>
      <c r="G16" s="29"/>
      <c r="H16" s="29"/>
      <c r="I16" s="29"/>
    </row>
    <row r="17" spans="1:9" x14ac:dyDescent="0.25">
      <c r="A17" s="32" t="s">
        <v>90</v>
      </c>
      <c r="B17" s="33">
        <v>0.05</v>
      </c>
      <c r="C17" s="32"/>
      <c r="G17" s="29"/>
      <c r="H17" s="29"/>
      <c r="I17" s="29"/>
    </row>
    <row r="18" spans="1:9" x14ac:dyDescent="0.25">
      <c r="A18" s="32" t="s">
        <v>91</v>
      </c>
      <c r="B18" s="33">
        <v>0.1</v>
      </c>
      <c r="C18" s="32"/>
      <c r="G18" s="29"/>
      <c r="H18" s="29"/>
      <c r="I18" s="29"/>
    </row>
    <row r="19" spans="1:9" x14ac:dyDescent="0.25">
      <c r="A19" s="32" t="s">
        <v>92</v>
      </c>
      <c r="B19" s="33">
        <v>0.15</v>
      </c>
      <c r="C19" s="32"/>
      <c r="G19" s="29"/>
      <c r="H19" s="29"/>
      <c r="I19" s="29"/>
    </row>
    <row r="20" spans="1:9" x14ac:dyDescent="0.25">
      <c r="A20" s="32" t="s">
        <v>93</v>
      </c>
      <c r="B20" s="33">
        <v>0.15</v>
      </c>
      <c r="C20" s="32"/>
      <c r="G20" s="29"/>
      <c r="H20" s="29"/>
      <c r="I20" s="29"/>
    </row>
    <row r="21" spans="1:9" x14ac:dyDescent="0.25">
      <c r="A21" s="34" t="s">
        <v>87</v>
      </c>
      <c r="B21" s="35">
        <v>0.05</v>
      </c>
      <c r="C21" s="34">
        <v>28</v>
      </c>
      <c r="G21" s="29"/>
      <c r="H21" s="29"/>
      <c r="I21" s="29"/>
    </row>
    <row r="22" spans="1:9" x14ac:dyDescent="0.25">
      <c r="A22" s="34" t="s">
        <v>88</v>
      </c>
      <c r="B22" s="35">
        <v>0.05</v>
      </c>
      <c r="C22" s="34"/>
      <c r="G22" s="29"/>
      <c r="H22" s="29"/>
      <c r="I22" s="29"/>
    </row>
    <row r="23" spans="1:9" x14ac:dyDescent="0.25">
      <c r="A23" s="34" t="s">
        <v>89</v>
      </c>
      <c r="B23" s="35">
        <v>0.05</v>
      </c>
      <c r="C23" s="34"/>
    </row>
    <row r="24" spans="1:9" x14ac:dyDescent="0.25">
      <c r="A24" s="34" t="s">
        <v>90</v>
      </c>
      <c r="B24" s="35">
        <v>0.05</v>
      </c>
      <c r="C24" s="34"/>
    </row>
    <row r="25" spans="1:9" x14ac:dyDescent="0.25">
      <c r="A25" s="34" t="s">
        <v>91</v>
      </c>
      <c r="B25" s="35">
        <v>0.1</v>
      </c>
      <c r="C25" s="34"/>
    </row>
    <row r="26" spans="1:9" x14ac:dyDescent="0.25">
      <c r="A26" s="34" t="s">
        <v>92</v>
      </c>
      <c r="B26" s="35">
        <v>0.15</v>
      </c>
      <c r="C26" s="34"/>
    </row>
    <row r="27" spans="1:9" x14ac:dyDescent="0.25">
      <c r="A27" s="34" t="s">
        <v>93</v>
      </c>
      <c r="B27" s="35">
        <v>0.15</v>
      </c>
      <c r="C27" s="34"/>
      <c r="D27" s="29"/>
      <c r="E27" s="29"/>
    </row>
    <row r="28" spans="1:9" x14ac:dyDescent="0.25">
      <c r="A28" s="36" t="s">
        <v>87</v>
      </c>
      <c r="B28" s="37">
        <v>0.05</v>
      </c>
      <c r="C28" s="36">
        <v>45</v>
      </c>
      <c r="D28" s="29"/>
      <c r="E28" s="29"/>
    </row>
    <row r="29" spans="1:9" x14ac:dyDescent="0.25">
      <c r="A29" s="36" t="s">
        <v>88</v>
      </c>
      <c r="B29" s="37">
        <v>0.05</v>
      </c>
      <c r="C29" s="36"/>
    </row>
    <row r="30" spans="1:9" x14ac:dyDescent="0.25">
      <c r="A30" s="36" t="s">
        <v>89</v>
      </c>
      <c r="B30" s="37">
        <v>0.05</v>
      </c>
      <c r="C30" s="36"/>
    </row>
    <row r="31" spans="1:9" x14ac:dyDescent="0.25">
      <c r="A31" s="36" t="s">
        <v>90</v>
      </c>
      <c r="B31" s="37">
        <v>0.05</v>
      </c>
      <c r="C31" s="36"/>
    </row>
    <row r="32" spans="1:9" x14ac:dyDescent="0.25">
      <c r="A32" s="36" t="s">
        <v>91</v>
      </c>
      <c r="B32" s="37">
        <v>0.1</v>
      </c>
      <c r="C32" s="36"/>
    </row>
    <row r="33" spans="1:3" x14ac:dyDescent="0.25">
      <c r="A33" s="36" t="s">
        <v>92</v>
      </c>
      <c r="B33" s="37">
        <v>0.15</v>
      </c>
      <c r="C33" s="36"/>
    </row>
    <row r="34" spans="1:3" x14ac:dyDescent="0.25">
      <c r="A34" s="36" t="s">
        <v>93</v>
      </c>
      <c r="B34" s="37">
        <v>0.15</v>
      </c>
      <c r="C34" s="36"/>
    </row>
    <row r="35" spans="1:3" ht="26.25" x14ac:dyDescent="0.4">
      <c r="A35" s="40"/>
      <c r="B35" s="40"/>
      <c r="C35" s="41">
        <f>IF(B1&lt;=C7,VLOOKUP(B2,A7:B13,2,0),IF(B1&lt;=C14,VLOOKUP(B2,A14:B20,2,0),IF(B1&lt;=C21,VLOOKUP(B2,A21:B27,2,0),IF(B1&lt;=C28,VLOOKUP(B2,A28:B34,2,0)))))</f>
        <v>0.05</v>
      </c>
    </row>
    <row r="37" spans="1:3" x14ac:dyDescent="0.25">
      <c r="A37" s="42" t="s">
        <v>84</v>
      </c>
      <c r="B37" s="43">
        <v>1.4999999999999999E-2</v>
      </c>
      <c r="C37" s="42">
        <v>7</v>
      </c>
    </row>
    <row r="38" spans="1:3" x14ac:dyDescent="0.25">
      <c r="A38" s="42" t="s">
        <v>85</v>
      </c>
      <c r="B38" s="43">
        <v>3.5000000000000003E-2</v>
      </c>
      <c r="C38" s="42"/>
    </row>
    <row r="39" spans="1:3" x14ac:dyDescent="0.25">
      <c r="A39" s="32" t="s">
        <v>84</v>
      </c>
      <c r="B39" s="33">
        <v>1.4999999999999999E-2</v>
      </c>
      <c r="C39" s="32">
        <v>14</v>
      </c>
    </row>
    <row r="40" spans="1:3" x14ac:dyDescent="0.25">
      <c r="A40" s="32" t="s">
        <v>85</v>
      </c>
      <c r="B40" s="33">
        <v>3.5000000000000003E-2</v>
      </c>
      <c r="C40" s="32"/>
    </row>
    <row r="41" spans="1:3" x14ac:dyDescent="0.25">
      <c r="A41" s="34" t="s">
        <v>84</v>
      </c>
      <c r="B41" s="35">
        <v>1.4999999999999999E-2</v>
      </c>
      <c r="C41" s="34">
        <v>28</v>
      </c>
    </row>
    <row r="42" spans="1:3" x14ac:dyDescent="0.25">
      <c r="A42" s="34" t="s">
        <v>85</v>
      </c>
      <c r="B42" s="35">
        <v>3.5000000000000003E-2</v>
      </c>
      <c r="C42" s="34"/>
    </row>
    <row r="43" spans="1:3" x14ac:dyDescent="0.25">
      <c r="A43" s="36" t="s">
        <v>84</v>
      </c>
      <c r="B43" s="37">
        <v>1.4999999999999999E-2</v>
      </c>
      <c r="C43" s="36">
        <v>45</v>
      </c>
    </row>
    <row r="44" spans="1:3" x14ac:dyDescent="0.25">
      <c r="A44" s="36" t="s">
        <v>85</v>
      </c>
      <c r="B44" s="37">
        <v>3.5000000000000003E-2</v>
      </c>
      <c r="C44" s="36"/>
    </row>
    <row r="45" spans="1:3" ht="26.25" x14ac:dyDescent="0.4">
      <c r="A45" s="40"/>
      <c r="B45" s="40"/>
      <c r="C45" s="41">
        <f>IFERROR(IF(B1&lt;=C37,VLOOKUP(B5,A37:B38,2,0),IF(B1&lt;=C39,VLOOKUP(B5,A39:B40,2,0),IF(B1&lt;=C41,VLOOKUP(B5,A41:B42,2,0),IF(B1&lt;=C43,VLOOKUP(B5,A43:B44,2,0))))),0)</f>
        <v>3.5000000000000003E-2</v>
      </c>
    </row>
    <row r="46" spans="1:3" ht="33.75" x14ac:dyDescent="0.5">
      <c r="A46" s="44" t="s">
        <v>98</v>
      </c>
      <c r="B46" s="44"/>
      <c r="C46" s="45">
        <f>C35+C45</f>
        <v>8.5000000000000006E-2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2</vt:i4>
      </vt:variant>
    </vt:vector>
  </HeadingPairs>
  <TitlesOfParts>
    <vt:vector size="6" baseType="lpstr">
      <vt:lpstr>CALCULADORA BURSÁTIL</vt:lpstr>
      <vt:lpstr>CALCULADORA REPORTOS</vt:lpstr>
      <vt:lpstr>COSTOS CUSTODIA Y LIQUIDACION </vt:lpstr>
      <vt:lpstr>PARAMETROS</vt:lpstr>
      <vt:lpstr>'CALCULADORA BURSÁTIL'!Área_de_impresión</vt:lpstr>
      <vt:lpstr>'CALCULADORA REPORTOS'!Área_de_impresión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Dennis Rodriguez</dc:creator>
  <cp:lastModifiedBy>Daniela Ramos</cp:lastModifiedBy>
  <cp:lastPrinted>2022-08-12T18:41:46Z</cp:lastPrinted>
  <dcterms:created xsi:type="dcterms:W3CDTF">2022-06-22T17:06:22Z</dcterms:created>
  <dcterms:modified xsi:type="dcterms:W3CDTF">2025-06-19T18:48:18Z</dcterms:modified>
</cp:coreProperties>
</file>